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461" windowWidth="7590" windowHeight="6150" activeTab="0"/>
  </bookViews>
  <sheets>
    <sheet name="home" sheetId="1" r:id="rId1"/>
    <sheet name="foodbase" sheetId="2" r:id="rId2"/>
    <sheet name="help" sheetId="3" r:id="rId3"/>
    <sheet name="about" sheetId="4" r:id="rId4"/>
    <sheet name="notes" sheetId="5" r:id="rId5"/>
  </sheets>
  <definedNames>
    <definedName name="\0">'home'!$AE$53</definedName>
    <definedName name="\h">'home'!$AE$33</definedName>
    <definedName name="\l">'home'!$AE$39</definedName>
    <definedName name="\m">'home'!$AE$35</definedName>
    <definedName name="\n">'home'!$AE$47</definedName>
    <definedName name="\r">'home'!$AE$49</definedName>
    <definedName name="\s">'home'!$AE$41</definedName>
    <definedName name="\u">'home'!$AE$45</definedName>
    <definedName name="\w">'home'!$AE$37</definedName>
    <definedName name="\z">'home'!$AE$43</definedName>
    <definedName name="_Key1" hidden="1">'home'!$B$31:$B$46</definedName>
    <definedName name="_Order1" hidden="1">255</definedName>
    <definedName name="_Regression_Int" localSheetId="0" hidden="1">1</definedName>
    <definedName name="data">'home'!$I$3:$I$18</definedName>
    <definedName name="FIN">'home'!$AE$60</definedName>
    <definedName name="HELP">'home'!$AC$1:$AJ$20</definedName>
    <definedName name="HOME">'home'!#REF!</definedName>
    <definedName name="INIT">'home'!$AC$48:$AJ$57</definedName>
    <definedName name="MACROS">'home'!$AC$31:$AJ$50</definedName>
    <definedName name="PICK">'home'!#REF!</definedName>
    <definedName name="rer3..x19">'home'!$AE$48</definedName>
    <definedName name="WEEK">'home'!$Q$1:$R$19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<sst xmlns="http://schemas.openxmlformats.org/spreadsheetml/2006/main" count="639" uniqueCount="393">
  <si>
    <t>total</t>
  </si>
  <si>
    <t>fat</t>
  </si>
  <si>
    <t>gm</t>
  </si>
  <si>
    <t>sun</t>
  </si>
  <si>
    <t>mon</t>
  </si>
  <si>
    <t>tue</t>
  </si>
  <si>
    <t>wed</t>
  </si>
  <si>
    <t>thu</t>
  </si>
  <si>
    <t>fri</t>
  </si>
  <si>
    <t>sat</t>
  </si>
  <si>
    <t>HELP</t>
  </si>
  <si>
    <t>cals</t>
  </si>
  <si>
    <t>protein</t>
  </si>
  <si>
    <t>----</t>
  </si>
  <si>
    <t>-----</t>
  </si>
  <si>
    <t>Food</t>
  </si>
  <si>
    <t>unit</t>
  </si>
  <si>
    <t>/unit</t>
  </si>
  <si>
    <t>---------------------</t>
  </si>
  <si>
    <t>--------</t>
  </si>
  <si>
    <t>-------</t>
  </si>
  <si>
    <t xml:space="preserve">           </t>
  </si>
  <si>
    <t xml:space="preserve">          </t>
  </si>
  <si>
    <t>go to HELP area (here)</t>
  </si>
  <si>
    <t>go to MACROS definition area</t>
  </si>
  <si>
    <t xml:space="preserve">go to WEEKLY LOG </t>
  </si>
  <si>
    <t>log today's data</t>
  </si>
  <si>
    <t>MACROS</t>
  </si>
  <si>
    <t>\h</t>
  </si>
  <si>
    <t xml:space="preserve"> </t>
  </si>
  <si>
    <t>go to HELP area</t>
  </si>
  <si>
    <t>\m</t>
  </si>
  <si>
    <t>go to MACROS area</t>
  </si>
  <si>
    <t>\w</t>
  </si>
  <si>
    <t>go to WEEKLY LOG</t>
  </si>
  <si>
    <t>\l</t>
  </si>
  <si>
    <t>{\w}{d 2}{r 2}/rvdata~</t>
  </si>
  <si>
    <t>\z</t>
  </si>
  <si>
    <t>zero-out data</t>
  </si>
  <si>
    <t>\u</t>
  </si>
  <si>
    <t>/rnlr~{d}</t>
  </si>
  <si>
    <t>make macro</t>
  </si>
  <si>
    <t>INIT</t>
  </si>
  <si>
    <t>Commands/options invoked on initialization</t>
  </si>
  <si>
    <t>\0</t>
  </si>
  <si>
    <t>/wgzy~</t>
  </si>
  <si>
    <t>do not display 0 cells</t>
  </si>
  <si>
    <t>{home}{goto}HELP~</t>
  </si>
  <si>
    <t>FOOD DATABASE</t>
  </si>
  <si>
    <t>WEEKLY</t>
  </si>
  <si>
    <t>LOG</t>
  </si>
  <si>
    <t xml:space="preserve">  &lt;ctrl + h&gt;</t>
  </si>
  <si>
    <t xml:space="preserve">  &lt;ctrl + m&gt;</t>
  </si>
  <si>
    <t xml:space="preserve">  &lt;ctrl + w&gt;</t>
  </si>
  <si>
    <t xml:space="preserve">  &lt;ctrl + l&gt;</t>
  </si>
  <si>
    <t xml:space="preserve">  &lt;ctrl + z&gt;</t>
  </si>
  <si>
    <t>For more help, press the 'manual' tab</t>
  </si>
  <si>
    <t xml:space="preserve">  &lt;ctrl + n&gt;</t>
  </si>
  <si>
    <t>\n</t>
  </si>
  <si>
    <t>CALORIE distribution</t>
  </si>
  <si>
    <t>GRAMS</t>
  </si>
  <si>
    <t xml:space="preserve">  protein </t>
  </si>
  <si>
    <t xml:space="preserve">  fat    </t>
  </si>
  <si>
    <t xml:space="preserve">  % prot </t>
  </si>
  <si>
    <t xml:space="preserve">  % carb </t>
  </si>
  <si>
    <t xml:space="preserve">  % fat  </t>
  </si>
  <si>
    <t>spreadsheet.  The original version contained  the main features of this</t>
  </si>
  <si>
    <t>version.  The original version, with documentation, can be downloaded</t>
  </si>
  <si>
    <t>from my website.</t>
  </si>
  <si>
    <t>As of this writing, the URL of my weight loss website is:</t>
  </si>
  <si>
    <t>weightloss101@aol.com</t>
  </si>
  <si>
    <t>jsuebersax@yahoo.com</t>
  </si>
  <si>
    <t>John S. Uebersax, PhD</t>
  </si>
  <si>
    <t>Thousand Oaks, California</t>
  </si>
  <si>
    <t>versions.  You may download and use if for free.</t>
  </si>
  <si>
    <t>free.  Do not sell this version or any modification.  Do not distribute this or</t>
  </si>
  <si>
    <t>anything similar.</t>
  </si>
  <si>
    <t>Sharing the spreadsheet is permitted and encouraged, so long as it is for</t>
  </si>
  <si>
    <t>any modified version with a charge for processing, shipping &amp; handling, or</t>
  </si>
  <si>
    <t>Modification and customization for personal use is encouraged.  If you share</t>
  </si>
  <si>
    <t>your modified version with others, retain a reference to the original version,</t>
  </si>
  <si>
    <t>my email address, and my web site.</t>
  </si>
  <si>
    <t>This spreadsheet is based on DIET123.wk1, a Lotus 1-2-3 version 2</t>
  </si>
  <si>
    <t>My email addresses are as:</t>
  </si>
  <si>
    <t>August 2001</t>
  </si>
  <si>
    <t>Revision History</t>
  </si>
  <si>
    <t>Date</t>
  </si>
  <si>
    <t>Change(s)</t>
  </si>
  <si>
    <t>Version</t>
  </si>
  <si>
    <t>0.7</t>
  </si>
  <si>
    <t>Added 'About' section</t>
  </si>
  <si>
    <t>Protein bar (biotech)</t>
  </si>
  <si>
    <t>granola bar</t>
  </si>
  <si>
    <t>olive oil</t>
  </si>
  <si>
    <t>1 tbsp</t>
  </si>
  <si>
    <t>carrot juice</t>
  </si>
  <si>
    <t>1 cup</t>
  </si>
  <si>
    <t>Chicken fajita pita</t>
  </si>
  <si>
    <t>1 pack</t>
  </si>
  <si>
    <t>tofu (extra firm)</t>
  </si>
  <si>
    <t>1/2 pck</t>
  </si>
  <si>
    <t>1 can</t>
  </si>
  <si>
    <t>soy meat (yves deli)</t>
  </si>
  <si>
    <t>Added wisdom page</t>
  </si>
  <si>
    <t>added update function</t>
  </si>
  <si>
    <t>new week (reset weekly log)</t>
  </si>
  <si>
    <t>0.8</t>
  </si>
  <si>
    <t>changed to v. 8</t>
  </si>
  <si>
    <t>http://members.aol.com/WeightControl101</t>
  </si>
  <si>
    <t xml:space="preserve">press the Control and 'h' keys at the </t>
  </si>
  <si>
    <t>same time.</t>
  </si>
  <si>
    <t xml:space="preserve">Several shortcut keys are available in </t>
  </si>
  <si>
    <t>the home worksheet.</t>
  </si>
  <si>
    <t>To see them, first press the 'home'</t>
  </si>
  <si>
    <t>Zero out entries (new day)</t>
  </si>
  <si>
    <t>Balance bar</t>
  </si>
  <si>
    <t>Cal. Distribution</t>
  </si>
  <si>
    <t>minor cleanup</t>
  </si>
  <si>
    <t>navigation buttons and learning more about VBA macros</t>
  </si>
  <si>
    <t>misc</t>
  </si>
  <si>
    <t>nutrient</t>
  </si>
  <si>
    <t>units</t>
  </si>
  <si>
    <t>Protein Plus bar</t>
  </si>
  <si>
    <t>my</t>
  </si>
  <si>
    <t>bagel</t>
  </si>
  <si>
    <t>apple</t>
  </si>
  <si>
    <t>plum</t>
  </si>
  <si>
    <t>grapes</t>
  </si>
  <si>
    <t>banana</t>
  </si>
  <si>
    <t>beans</t>
  </si>
  <si>
    <t>fruit cocktail</t>
  </si>
  <si>
    <t>my nutrient</t>
  </si>
  <si>
    <t>1 bar</t>
  </si>
  <si>
    <t>TODAY'S FOOD</t>
  </si>
  <si>
    <t>net calories</t>
  </si>
  <si>
    <t xml:space="preserve">   daily req </t>
  </si>
  <si>
    <t xml:space="preserve">   exercise </t>
  </si>
  <si>
    <t>CALORIES</t>
  </si>
  <si>
    <t xml:space="preserve">net     </t>
  </si>
  <si>
    <t xml:space="preserve">          Daily Results</t>
  </si>
  <si>
    <t xml:space="preserve">   consumed</t>
  </si>
  <si>
    <t>My nutrient:</t>
  </si>
  <si>
    <t xml:space="preserve">GRAMS </t>
  </si>
  <si>
    <t>DietSheet is a diet spreadsheet written for Microsoft Excel 97 and later Excel</t>
  </si>
  <si>
    <t>tab below, then press Ctrl+h (I.e.,</t>
  </si>
  <si>
    <t>/rec5..c304~/rei5~</t>
  </si>
  <si>
    <t>Today's data</t>
  </si>
  <si>
    <r>
      <t xml:space="preserve">For each food eaten today, enter the number of units in Column C of the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page,</t>
    </r>
  </si>
  <si>
    <t>then press Enter.</t>
  </si>
  <si>
    <r>
      <t>home</t>
    </r>
    <r>
      <rPr>
        <sz val="10"/>
        <rFont val="Arial"/>
        <family val="2"/>
      </rPr>
      <t xml:space="preserve"> page action</t>
    </r>
  </si>
  <si>
    <t xml:space="preserve">  keys</t>
  </si>
  <si>
    <t>Add today's data to weekly log</t>
  </si>
  <si>
    <t>Begin new week in weekly log</t>
  </si>
  <si>
    <r>
      <t>home</t>
    </r>
    <r>
      <rPr>
        <sz val="10"/>
        <rFont val="Arial"/>
        <family val="2"/>
      </rPr>
      <t xml:space="preserve"> page navi-</t>
    </r>
  </si>
  <si>
    <t xml:space="preserve">  gation keys</t>
  </si>
  <si>
    <t>Home key</t>
  </si>
  <si>
    <t>go to cell A1</t>
  </si>
  <si>
    <t>other navigation</t>
  </si>
  <si>
    <t>home tab</t>
  </si>
  <si>
    <t>move to home (Today's Food and Weekly Log) page</t>
  </si>
  <si>
    <t>foodbase tab</t>
  </si>
  <si>
    <t>move to foodbase (Food Database) tab</t>
  </si>
  <si>
    <t>help tab</t>
  </si>
  <si>
    <t>reminds user to press home tab, then Ctrl-h for help</t>
  </si>
  <si>
    <t>/rer3..x18~</t>
  </si>
  <si>
    <t>peanuts</t>
  </si>
  <si>
    <t>green tea</t>
  </si>
  <si>
    <t>Apple juice</t>
  </si>
  <si>
    <t>Apple pie</t>
  </si>
  <si>
    <t>1 slice</t>
  </si>
  <si>
    <t>Apples raw with peel 2 3/4 diam</t>
  </si>
  <si>
    <t>1 ea</t>
  </si>
  <si>
    <t>Apricot nectar canned</t>
  </si>
  <si>
    <t>Asparagus, raw cuts and tips</t>
  </si>
  <si>
    <t>1/2 cup</t>
  </si>
  <si>
    <t>Avocado Calif 1/2 lb with refuse</t>
  </si>
  <si>
    <t>Bagel, plain</t>
  </si>
  <si>
    <t>Bamboo shoots, canned and sliced</t>
  </si>
  <si>
    <t>Banana raw without peel</t>
  </si>
  <si>
    <t>Beef - Liver</t>
  </si>
  <si>
    <t>3 oz</t>
  </si>
  <si>
    <t>Beef - Steak lean and fat</t>
  </si>
  <si>
    <t>Beef dried chipped</t>
  </si>
  <si>
    <t>2.5 oz</t>
  </si>
  <si>
    <t>Beef gravy canned</t>
  </si>
  <si>
    <t>Beer Light (12 fl oz)</t>
  </si>
  <si>
    <t>1 1/2 cups</t>
  </si>
  <si>
    <t>Beer Regular (12 fl oz)</t>
  </si>
  <si>
    <t>Beets cooked sliced or diced</t>
  </si>
  <si>
    <t>Blackberries raw</t>
  </si>
  <si>
    <t>Blackeyed peas frozen drained</t>
  </si>
  <si>
    <t>Blueberries raw</t>
  </si>
  <si>
    <t>Bouillon</t>
  </si>
  <si>
    <t>1 packet</t>
  </si>
  <si>
    <t>Bread crumbs, dry grated</t>
  </si>
  <si>
    <t>Broccoli - Cooked, raw, spears</t>
  </si>
  <si>
    <t>1 spear</t>
  </si>
  <si>
    <t>Brussel sprouts cooked raw</t>
  </si>
  <si>
    <t>Burrito, beef and bean</t>
  </si>
  <si>
    <t>Butter - Stick</t>
  </si>
  <si>
    <t>Buttermilk</t>
  </si>
  <si>
    <t>Canadian style Bacon</t>
  </si>
  <si>
    <t>2 pce</t>
  </si>
  <si>
    <t>Cantaloupe</t>
  </si>
  <si>
    <t>1/2 ea</t>
  </si>
  <si>
    <t>Carbonated Cola (12 fl oz)</t>
  </si>
  <si>
    <t>Carbonated Diet Cola (12 fl oz)</t>
  </si>
  <si>
    <t>Carrot cake, cream cheese</t>
  </si>
  <si>
    <t>1 pce</t>
  </si>
  <si>
    <t>Carrot juice</t>
  </si>
  <si>
    <t>3/4 cup</t>
  </si>
  <si>
    <t>Carrots whole raw</t>
  </si>
  <si>
    <t>1 carrot</t>
  </si>
  <si>
    <t>Cauliflower - Cooked, raw</t>
  </si>
  <si>
    <t>Celery, pascal large stalk</t>
  </si>
  <si>
    <t>1 stalk</t>
  </si>
  <si>
    <t>Cheese - Blue</t>
  </si>
  <si>
    <t>1 oz</t>
  </si>
  <si>
    <t>Cheese - Cheddar cut pieces</t>
  </si>
  <si>
    <t>Cheese - Cream</t>
  </si>
  <si>
    <t>Cheese - Monterey Jack</t>
  </si>
  <si>
    <t>Cheese - Swiss</t>
  </si>
  <si>
    <t>Cheese crackers</t>
  </si>
  <si>
    <t>10 ea</t>
  </si>
  <si>
    <t>Cheese Gouda</t>
  </si>
  <si>
    <t>Cheese Mozzarella whole milk</t>
  </si>
  <si>
    <t>Cherries sweet raw without pits</t>
  </si>
  <si>
    <t>Chicken - Roasted whole</t>
  </si>
  <si>
    <t>Chicken breast fried w/batter</t>
  </si>
  <si>
    <t>Chili powder</t>
  </si>
  <si>
    <t>1 tsp</t>
  </si>
  <si>
    <t>Chocolate Chip cookies commercial</t>
  </si>
  <si>
    <t>4 ea</t>
  </si>
  <si>
    <t>Clams - raw</t>
  </si>
  <si>
    <t>Coffee Brewed</t>
  </si>
  <si>
    <t>Coffee Instant</t>
  </si>
  <si>
    <t>Cole slaw</t>
  </si>
  <si>
    <t>Corn Chips</t>
  </si>
  <si>
    <t>Corn cooked raw on cob</t>
  </si>
  <si>
    <t>1 ear</t>
  </si>
  <si>
    <t>Corn dog</t>
  </si>
  <si>
    <t>Cottage Creamed small curd</t>
  </si>
  <si>
    <t>Cream sour cultured</t>
  </si>
  <si>
    <t>Croissant 4 1/2 x 4 x 1 3/4 in</t>
  </si>
  <si>
    <t>Cucumber with peel</t>
  </si>
  <si>
    <t>6 slices</t>
  </si>
  <si>
    <t>Custard baked</t>
  </si>
  <si>
    <t>Dandelion greens (raw)</t>
  </si>
  <si>
    <t>Dates whole without pits</t>
  </si>
  <si>
    <t>Duck meat only roasted</t>
  </si>
  <si>
    <t>1/2 duck</t>
  </si>
  <si>
    <t>Egg Nog commercial</t>
  </si>
  <si>
    <t>Egg noodles, cooked</t>
  </si>
  <si>
    <t>Eggplant cooked</t>
  </si>
  <si>
    <t>Enchilada</t>
  </si>
  <si>
    <t>English muffin, plain</t>
  </si>
  <si>
    <t>English walnuts, chopped</t>
  </si>
  <si>
    <t>Fishsticks</t>
  </si>
  <si>
    <t>2 ea</t>
  </si>
  <si>
    <t>Frankfurter, beef and pork</t>
  </si>
  <si>
    <t>Frankfurter, turkey</t>
  </si>
  <si>
    <t>French fries fried in veg oil</t>
  </si>
  <si>
    <t>10 strips</t>
  </si>
  <si>
    <t>French fries oven heated</t>
  </si>
  <si>
    <t>Gin, Rum, Vodka, Whiskey 80 proof</t>
  </si>
  <si>
    <t>1 1/2 fl oz</t>
  </si>
  <si>
    <t>Gingerbread</t>
  </si>
  <si>
    <t>Graham crackers</t>
  </si>
  <si>
    <t>Grape Drink Canned</t>
  </si>
  <si>
    <t>Grape Nuts cereal</t>
  </si>
  <si>
    <t>Ground beef lean</t>
  </si>
  <si>
    <t>Ground beef regular</t>
  </si>
  <si>
    <t>Ham luncheon meat canned</t>
  </si>
  <si>
    <t>Honeydew</t>
  </si>
  <si>
    <t xml:space="preserve">Ice Cream Vanilla </t>
  </si>
  <si>
    <t xml:space="preserve">Ice Milk Vanilla </t>
  </si>
  <si>
    <t>Kefir</t>
  </si>
  <si>
    <t>Lamb - Chops lean and fat</t>
  </si>
  <si>
    <t>2.2 oz</t>
  </si>
  <si>
    <t>Lamb leg roasted lean and fat</t>
  </si>
  <si>
    <t>Lard</t>
  </si>
  <si>
    <t>1/4 cup</t>
  </si>
  <si>
    <t>Lemonade concentrate</t>
  </si>
  <si>
    <t>Lettuce Butterhead/Boston</t>
  </si>
  <si>
    <t>1 head</t>
  </si>
  <si>
    <t>Lima Beans, thick seeded</t>
  </si>
  <si>
    <t>Lucky Charms cereal</t>
  </si>
  <si>
    <t>Macaroni, cooked firm stage hot</t>
  </si>
  <si>
    <t>Mango raw edible part</t>
  </si>
  <si>
    <t>Margarine - Regular, hard</t>
  </si>
  <si>
    <t>Margarine Spread (60% fat) hard</t>
  </si>
  <si>
    <t>Marshmallows</t>
  </si>
  <si>
    <t>Melba toast, plain</t>
  </si>
  <si>
    <t>Milk - 2% Low Fat</t>
  </si>
  <si>
    <t>Milk - Whole</t>
  </si>
  <si>
    <t>Mixed grain toasted</t>
  </si>
  <si>
    <t>Muffins Blueberry, commercial</t>
  </si>
  <si>
    <t>Mushrooms raw sliced</t>
  </si>
  <si>
    <t>Nectarines raw without pits</t>
  </si>
  <si>
    <t>Oil - Corn</t>
  </si>
  <si>
    <t>Oil - Olive</t>
  </si>
  <si>
    <t>Oil - Peanut</t>
  </si>
  <si>
    <t>Onions raw chopped</t>
  </si>
  <si>
    <t>Orange (12 fl oz)</t>
  </si>
  <si>
    <t>Orange juice</t>
  </si>
  <si>
    <t>Oysters - raw Pacific</t>
  </si>
  <si>
    <t>Oysters Eastern raw</t>
  </si>
  <si>
    <t>Peach pie, piece</t>
  </si>
  <si>
    <t>Peaches juice pack</t>
  </si>
  <si>
    <t>Peaches raw whole</t>
  </si>
  <si>
    <t>Peanut Butter</t>
  </si>
  <si>
    <t>Pears raw Bartlett</t>
  </si>
  <si>
    <t>Peas, green canned drained</t>
  </si>
  <si>
    <t>Pepper black</t>
  </si>
  <si>
    <t>Pickles dill medium</t>
  </si>
  <si>
    <t>1 pickle</t>
  </si>
  <si>
    <t>Pine nuts/pinyon dried</t>
  </si>
  <si>
    <t>Pineapple raw chunks, dices</t>
  </si>
  <si>
    <t>Pineapple, juice canned</t>
  </si>
  <si>
    <t>Pinto Beans cooked from dry</t>
  </si>
  <si>
    <t>Plantains, cooked, boiled,sliced</t>
  </si>
  <si>
    <t>Plums</t>
  </si>
  <si>
    <t>3 ea</t>
  </si>
  <si>
    <t>Popcorn, air popped plain</t>
  </si>
  <si>
    <t>Pork - Chops, Broiled lean &amp; fat</t>
  </si>
  <si>
    <t>3.1 oz</t>
  </si>
  <si>
    <t>Pork, Bacon medium slices</t>
  </si>
  <si>
    <t>3 pce</t>
  </si>
  <si>
    <t>Pork, rib roasted lean and fat</t>
  </si>
  <si>
    <t>Potato chips</t>
  </si>
  <si>
    <t>14 chips</t>
  </si>
  <si>
    <t>Potatoes mashed</t>
  </si>
  <si>
    <t>Pretzels, thin sticks</t>
  </si>
  <si>
    <t>Prune juice bottled or canned</t>
  </si>
  <si>
    <t>Pudding canned Chocolate</t>
  </si>
  <si>
    <t>5 oz</t>
  </si>
  <si>
    <t>Raisin bread slice</t>
  </si>
  <si>
    <t>Raisins, seedless</t>
  </si>
  <si>
    <t>Raw white</t>
  </si>
  <si>
    <t>Raw whole without shell</t>
  </si>
  <si>
    <t>Raw Yolk</t>
  </si>
  <si>
    <t>Rhubarb cooked added sugar</t>
  </si>
  <si>
    <t>Rice, brown cooked</t>
  </si>
  <si>
    <t>Root Beer (12 fl oz)</t>
  </si>
  <si>
    <t>Rye wafers, whole grain</t>
  </si>
  <si>
    <t>Rye, sliced</t>
  </si>
  <si>
    <t>Safflower</t>
  </si>
  <si>
    <t>Salad Dressing - Blue Cheese</t>
  </si>
  <si>
    <t>Salad Dressing - French Regular</t>
  </si>
  <si>
    <t>Salad Dressing - Italian Regular</t>
  </si>
  <si>
    <t>Salad Dressing 1000 Island</t>
  </si>
  <si>
    <t>Salad Dressing Mayonnaise</t>
  </si>
  <si>
    <t>Salmon - Broiled or baked</t>
  </si>
  <si>
    <t>Salmon, canned pink solids</t>
  </si>
  <si>
    <t>Saltine crackers</t>
  </si>
  <si>
    <t>Scrambled with milk and butter</t>
  </si>
  <si>
    <t>Sherbert (2% fat)</t>
  </si>
  <si>
    <t>Skim Milk</t>
  </si>
  <si>
    <t>Snack cakes, chocolate</t>
  </si>
  <si>
    <t>Soybean</t>
  </si>
  <si>
    <t>Spaghetti in sauce w/cheese</t>
  </si>
  <si>
    <t>Spaghetti, cooked firm stage hot</t>
  </si>
  <si>
    <t>Spinach raw chopped</t>
  </si>
  <si>
    <t>Strawberries thawed measure</t>
  </si>
  <si>
    <t>Tea Brewed</t>
  </si>
  <si>
    <t>Tomatoes raw whole</t>
  </si>
  <si>
    <t>1 tomato</t>
  </si>
  <si>
    <t>Trix cereal</t>
  </si>
  <si>
    <t>Trout broiled w/butter &amp; lemon</t>
  </si>
  <si>
    <t>Tuna, oil packed</t>
  </si>
  <si>
    <t>Turkey - Roasted whole, slices</t>
  </si>
  <si>
    <t>Veal cutlet braised or broiled</t>
  </si>
  <si>
    <t>Vegetable juice cocktail canned</t>
  </si>
  <si>
    <t>Water chestnuts canned sliced</t>
  </si>
  <si>
    <t>Wheat bread, sliced</t>
  </si>
  <si>
    <t>Wheat cracker, thin</t>
  </si>
  <si>
    <t>White bread, sliced</t>
  </si>
  <si>
    <t>White rice, raw dry</t>
  </si>
  <si>
    <t>Yellow cake</t>
  </si>
  <si>
    <t>Yogurt lowfat fruit added</t>
  </si>
  <si>
    <t>Yogurt whole milk</t>
  </si>
  <si>
    <t>campbell soup (veg beef)</t>
  </si>
  <si>
    <t>first official version uploaded to website</t>
  </si>
  <si>
    <t>added 200 general foods, moved HELP area in main page, adjusted Help button macros</t>
  </si>
  <si>
    <t>Consumed cals</t>
  </si>
  <si>
    <t>daily req cals</t>
  </si>
  <si>
    <t>exercise cals</t>
  </si>
  <si>
    <t xml:space="preserve">  carb</t>
  </si>
  <si>
    <t xml:space="preserve">  protein</t>
  </si>
  <si>
    <t xml:space="preserve">  carb   </t>
  </si>
  <si>
    <t>{home}{goto}WEEK~</t>
  </si>
  <si>
    <t>{home}{goto}MACROS~</t>
  </si>
  <si>
    <t>About DietSheet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</si>
</sst>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;;;"/>
    <numFmt numFmtId="167" formatCode="0.0"/>
  </numFmts>
  <fonts count="1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name val="Courier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0" fontId="1" fillId="2" borderId="0" xfId="0" applyFont="1" applyFill="1" applyAlignment="1">
      <alignment/>
    </xf>
    <xf numFmtId="166" fontId="1" fillId="2" borderId="0" xfId="0" applyNumberFormat="1" applyFont="1" applyFill="1" applyAlignment="1" applyProtection="1">
      <alignment/>
      <protection/>
    </xf>
    <xf numFmtId="0" fontId="5" fillId="3" borderId="0" xfId="0" applyFont="1" applyFill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right"/>
      <protection/>
    </xf>
    <xf numFmtId="0" fontId="1" fillId="4" borderId="0" xfId="0" applyFont="1" applyFill="1" applyAlignment="1" applyProtection="1">
      <alignment horizontal="left"/>
      <protection/>
    </xf>
    <xf numFmtId="165" fontId="1" fillId="5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 horizontal="left"/>
      <protection/>
    </xf>
    <xf numFmtId="9" fontId="5" fillId="3" borderId="0" xfId="0" applyNumberFormat="1" applyFont="1" applyFill="1" applyAlignment="1" applyProtection="1">
      <alignment horizontal="right"/>
      <protection/>
    </xf>
    <xf numFmtId="165" fontId="5" fillId="3" borderId="0" xfId="0" applyNumberFormat="1" applyFont="1" applyFill="1" applyAlignment="1" applyProtection="1">
      <alignment horizontal="right"/>
      <protection/>
    </xf>
    <xf numFmtId="9" fontId="3" fillId="3" borderId="0" xfId="0" applyNumberFormat="1" applyFont="1" applyFill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4" borderId="0" xfId="0" applyFont="1" applyFill="1" applyAlignment="1" applyProtection="1" quotePrefix="1">
      <alignment horizontal="left"/>
      <protection/>
    </xf>
    <xf numFmtId="165" fontId="1" fillId="5" borderId="0" xfId="0" applyNumberFormat="1" applyFont="1" applyFill="1" applyAlignment="1" applyProtection="1">
      <alignment horizontal="right"/>
      <protection/>
    </xf>
    <xf numFmtId="9" fontId="1" fillId="5" borderId="0" xfId="0" applyNumberFormat="1" applyFont="1" applyFill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 applyProtection="1">
      <alignment horizontal="right"/>
      <protection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 quotePrefix="1">
      <alignment horizontal="left" vertical="top"/>
    </xf>
    <xf numFmtId="0" fontId="1" fillId="6" borderId="0" xfId="0" applyFont="1" applyFill="1" applyAlignment="1" quotePrefix="1">
      <alignment horizontal="left"/>
    </xf>
    <xf numFmtId="0" fontId="7" fillId="6" borderId="0" xfId="20" applyFill="1" applyAlignment="1">
      <alignment/>
    </xf>
    <xf numFmtId="17" fontId="1" fillId="6" borderId="0" xfId="0" applyNumberFormat="1" applyFont="1" applyFill="1" applyAlignment="1" quotePrefix="1">
      <alignment horizontal="left"/>
    </xf>
    <xf numFmtId="16" fontId="1" fillId="6" borderId="0" xfId="0" applyNumberFormat="1" applyFont="1" applyFill="1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 applyProtection="1" quotePrefix="1">
      <alignment horizontal="left"/>
      <protection/>
    </xf>
    <xf numFmtId="0" fontId="7" fillId="6" borderId="0" xfId="20" applyFill="1" applyAlignment="1" quotePrefix="1">
      <alignment horizontal="left"/>
    </xf>
    <xf numFmtId="0" fontId="0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5" fillId="3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9" fontId="1" fillId="7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1" fillId="0" borderId="0" xfId="0" applyNumberFormat="1" applyFont="1" applyAlignment="1" applyProtection="1">
      <alignment horizontal="right"/>
      <protection locked="0"/>
    </xf>
    <xf numFmtId="0" fontId="1" fillId="4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 locked="0"/>
    </xf>
    <xf numFmtId="0" fontId="1" fillId="0" borderId="0" xfId="0" applyNumberFormat="1" applyFont="1" applyBorder="1" applyAlignment="1">
      <alignment/>
    </xf>
    <xf numFmtId="0" fontId="5" fillId="3" borderId="1" xfId="0" applyFont="1" applyFill="1" applyBorder="1" applyAlignment="1" applyProtection="1">
      <alignment horizontal="left"/>
      <protection/>
    </xf>
    <xf numFmtId="0" fontId="1" fillId="3" borderId="2" xfId="0" applyNumberFormat="1" applyFont="1" applyFill="1" applyBorder="1" applyAlignment="1" applyProtection="1">
      <alignment horizontal="right"/>
      <protection/>
    </xf>
    <xf numFmtId="0" fontId="5" fillId="3" borderId="3" xfId="0" applyFont="1" applyFill="1" applyBorder="1" applyAlignment="1" applyProtection="1">
      <alignment horizontal="left"/>
      <protection/>
    </xf>
    <xf numFmtId="0" fontId="1" fillId="3" borderId="0" xfId="0" applyNumberFormat="1" applyFont="1" applyFill="1" applyBorder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1" fillId="3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4" borderId="0" xfId="0" applyFont="1" applyFill="1" applyAlignment="1" applyProtection="1" quotePrefix="1">
      <alignment horizontal="left"/>
      <protection/>
    </xf>
    <xf numFmtId="0" fontId="12" fillId="3" borderId="0" xfId="0" applyFont="1" applyFill="1" applyAlignment="1">
      <alignment/>
    </xf>
    <xf numFmtId="0" fontId="13" fillId="3" borderId="0" xfId="0" applyFont="1" applyFill="1" applyAlignment="1" quotePrefix="1">
      <alignment horizontal="left"/>
    </xf>
    <xf numFmtId="0" fontId="13" fillId="3" borderId="0" xfId="0" applyFont="1" applyFill="1" applyAlignment="1">
      <alignment/>
    </xf>
    <xf numFmtId="0" fontId="5" fillId="8" borderId="6" xfId="0" applyNumberFormat="1" applyFont="1" applyFill="1" applyBorder="1" applyAlignment="1" applyProtection="1">
      <alignment/>
      <protection locked="0"/>
    </xf>
    <xf numFmtId="0" fontId="5" fillId="3" borderId="2" xfId="0" applyNumberFormat="1" applyFont="1" applyFill="1" applyBorder="1" applyAlignment="1" applyProtection="1">
      <alignment horizontal="right"/>
      <protection locked="0"/>
    </xf>
    <xf numFmtId="0" fontId="5" fillId="3" borderId="0" xfId="0" applyNumberFormat="1" applyFont="1" applyFill="1" applyBorder="1" applyAlignment="1" applyProtection="1">
      <alignment horizontal="right"/>
      <protection locked="0"/>
    </xf>
    <xf numFmtId="0" fontId="5" fillId="3" borderId="5" xfId="0" applyNumberFormat="1" applyFont="1" applyFill="1" applyBorder="1" applyAlignment="1" applyProtection="1">
      <alignment horizontal="right"/>
      <protection locked="0"/>
    </xf>
    <xf numFmtId="0" fontId="5" fillId="8" borderId="6" xfId="0" applyNumberFormat="1" applyFont="1" applyFill="1" applyBorder="1" applyAlignment="1" applyProtection="1">
      <alignment horizontal="right"/>
      <protection locked="0"/>
    </xf>
    <xf numFmtId="165" fontId="6" fillId="5" borderId="0" xfId="0" applyNumberFormat="1" applyFont="1" applyFill="1" applyAlignment="1" applyProtection="1">
      <alignment/>
      <protection locked="0"/>
    </xf>
    <xf numFmtId="0" fontId="3" fillId="4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/>
      <protection/>
    </xf>
    <xf numFmtId="0" fontId="1" fillId="4" borderId="0" xfId="0" applyNumberFormat="1" applyFont="1" applyFill="1" applyAlignment="1" applyProtection="1" quotePrefix="1">
      <alignment horizontal="right"/>
      <protection/>
    </xf>
    <xf numFmtId="0" fontId="10" fillId="5" borderId="0" xfId="0" applyFont="1" applyFill="1" applyAlignment="1" applyProtection="1" quotePrefix="1">
      <alignment horizontal="left"/>
      <protection/>
    </xf>
    <xf numFmtId="164" fontId="3" fillId="5" borderId="0" xfId="0" applyNumberFormat="1" applyFont="1" applyFill="1" applyAlignment="1" applyProtection="1" quotePrefix="1">
      <alignment horizontal="left"/>
      <protection/>
    </xf>
    <xf numFmtId="0" fontId="3" fillId="5" borderId="0" xfId="0" applyFont="1" applyFill="1" applyAlignment="1" applyProtection="1" quotePrefix="1">
      <alignment horizontal="left"/>
      <protection/>
    </xf>
    <xf numFmtId="0" fontId="3" fillId="5" borderId="0" xfId="0" applyFont="1" applyFill="1" applyAlignment="1" applyProtection="1">
      <alignment horizontal="left"/>
      <protection/>
    </xf>
    <xf numFmtId="0" fontId="1" fillId="5" borderId="0" xfId="0" applyFont="1" applyFill="1" applyAlignment="1" applyProtection="1">
      <alignment horizontal="right"/>
      <protection/>
    </xf>
    <xf numFmtId="165" fontId="3" fillId="3" borderId="0" xfId="0" applyNumberFormat="1" applyFont="1" applyFill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 quotePrefix="1">
      <alignment horizontal="left"/>
      <protection/>
    </xf>
    <xf numFmtId="0" fontId="1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5" borderId="0" xfId="0" applyFont="1" applyFill="1" applyAlignment="1" applyProtection="1">
      <alignment/>
      <protection locked="0"/>
    </xf>
    <xf numFmtId="167" fontId="1" fillId="6" borderId="0" xfId="0" applyNumberFormat="1" applyFont="1" applyFill="1" applyAlignment="1" quotePrefix="1">
      <alignment horizontal="left"/>
    </xf>
    <xf numFmtId="167" fontId="1" fillId="6" borderId="0" xfId="0" applyNumberFormat="1" applyFont="1" applyFill="1" applyAlignment="1">
      <alignment horizontal="left"/>
    </xf>
    <xf numFmtId="0" fontId="1" fillId="6" borderId="0" xfId="0" applyNumberFormat="1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9" fontId="1" fillId="5" borderId="0" xfId="0" applyNumberFormat="1" applyFont="1" applyFill="1" applyAlignment="1" applyProtection="1">
      <alignment horizontal="right"/>
      <protection locked="0"/>
    </xf>
    <xf numFmtId="1" fontId="3" fillId="7" borderId="0" xfId="0" applyNumberFormat="1" applyFont="1" applyFill="1" applyAlignment="1" applyProtection="1">
      <alignment horizontal="center"/>
      <protection/>
    </xf>
    <xf numFmtId="1" fontId="1" fillId="7" borderId="0" xfId="0" applyNumberFormat="1" applyFont="1" applyFill="1" applyAlignment="1" applyProtection="1">
      <alignment horizontal="center"/>
      <protection/>
    </xf>
    <xf numFmtId="164" fontId="3" fillId="4" borderId="0" xfId="0" applyNumberFormat="1" applyFont="1" applyFill="1" applyBorder="1" applyAlignment="1" applyProtection="1">
      <alignment horizontal="left"/>
      <protection/>
    </xf>
    <xf numFmtId="165" fontId="1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3" borderId="2" xfId="0" applyFont="1" applyFill="1" applyBorder="1" applyAlignment="1" applyProtection="1">
      <alignment horizontal="left"/>
      <protection/>
    </xf>
    <xf numFmtId="1" fontId="1" fillId="5" borderId="0" xfId="0" applyNumberFormat="1" applyFont="1" applyFill="1" applyAlignment="1" applyProtection="1">
      <alignment/>
      <protection locked="0"/>
    </xf>
    <xf numFmtId="1" fontId="6" fillId="5" borderId="0" xfId="0" applyNumberFormat="1" applyFont="1" applyFill="1" applyAlignment="1" applyProtection="1">
      <alignment/>
      <protection locked="0"/>
    </xf>
    <xf numFmtId="9" fontId="1" fillId="5" borderId="0" xfId="0" applyNumberFormat="1" applyFont="1" applyFill="1" applyAlignment="1" applyProtection="1">
      <alignment/>
      <protection locked="0"/>
    </xf>
    <xf numFmtId="165" fontId="1" fillId="5" borderId="0" xfId="0" applyNumberFormat="1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15" fillId="6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/>
    </xf>
    <xf numFmtId="165" fontId="1" fillId="5" borderId="0" xfId="0" applyNumberFormat="1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aol.com/WeightControl101" TargetMode="External" /><Relationship Id="rId2" Type="http://schemas.openxmlformats.org/officeDocument/2006/relationships/hyperlink" Target="mailto:jsuebersax@yahoo.com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AP330"/>
  <sheetViews>
    <sheetView showZeros="0" tabSelected="1" defaultGridColor="0" zoomScale="130" zoomScaleNormal="130" colorId="8" workbookViewId="0" topLeftCell="A1">
      <selection activeCell="B5" sqref="B5"/>
    </sheetView>
  </sheetViews>
  <sheetFormatPr defaultColWidth="9.625" defaultRowHeight="12.75"/>
  <cols>
    <col min="1" max="1" width="1.12109375" style="0" customWidth="1"/>
    <col min="2" max="2" width="26.125" style="111" customWidth="1"/>
    <col min="3" max="3" width="7.375" style="80" customWidth="1"/>
    <col min="4" max="5" width="7.75390625" style="61" customWidth="1"/>
    <col min="6" max="6" width="7.375" style="61" customWidth="1"/>
    <col min="7" max="7" width="7.25390625" style="69" customWidth="1"/>
    <col min="8" max="8" width="10.625" style="12" customWidth="1"/>
    <col min="9" max="9" width="7.625" style="34" customWidth="1"/>
    <col min="10" max="12" width="9.625" style="70" customWidth="1"/>
    <col min="16" max="16" width="6.625" style="0" customWidth="1"/>
    <col min="17" max="17" width="12.125" style="7" customWidth="1"/>
    <col min="18" max="24" width="8.25390625" style="7" customWidth="1"/>
    <col min="25" max="28" width="9.875" style="55" customWidth="1"/>
    <col min="29" max="29" width="6.625" style="0" customWidth="1"/>
    <col min="30" max="30" width="7.625" style="0" customWidth="1"/>
    <col min="31" max="31" width="8.125" style="0" customWidth="1"/>
    <col min="32" max="32" width="5.625" style="0" customWidth="1"/>
    <col min="33" max="36" width="7.625" style="0" customWidth="1"/>
  </cols>
  <sheetData>
    <row r="1" spans="1:38" ht="12.75">
      <c r="A1" s="62">
        <v>116</v>
      </c>
      <c r="B1" s="112" t="s">
        <v>133</v>
      </c>
      <c r="C1" s="77" t="s">
        <v>29</v>
      </c>
      <c r="D1" s="63" t="s">
        <v>0</v>
      </c>
      <c r="E1" s="63" t="s">
        <v>1</v>
      </c>
      <c r="F1" s="63" t="s">
        <v>2</v>
      </c>
      <c r="G1" s="63" t="s">
        <v>123</v>
      </c>
      <c r="H1" s="85" t="s">
        <v>139</v>
      </c>
      <c r="I1" s="88"/>
      <c r="K1" s="29">
        <f>foodbase!J1</f>
        <v>0</v>
      </c>
      <c r="L1" s="29">
        <f>$C1*foodbase!K1</f>
        <v>0</v>
      </c>
      <c r="Q1" s="90" t="s">
        <v>49</v>
      </c>
      <c r="R1" s="26" t="s">
        <v>3</v>
      </c>
      <c r="S1" s="26" t="s">
        <v>4</v>
      </c>
      <c r="T1" s="26" t="s">
        <v>5</v>
      </c>
      <c r="U1" s="26" t="s">
        <v>6</v>
      </c>
      <c r="V1" s="26" t="s">
        <v>7</v>
      </c>
      <c r="W1" s="27" t="s">
        <v>8</v>
      </c>
      <c r="X1" s="26" t="s">
        <v>9</v>
      </c>
      <c r="Y1" s="50" t="s">
        <v>0</v>
      </c>
      <c r="Z1" s="95"/>
      <c r="AA1" s="95"/>
      <c r="AB1" s="95"/>
      <c r="AC1" s="82" t="s">
        <v>10</v>
      </c>
      <c r="AD1" s="83"/>
      <c r="AE1" s="31" t="s">
        <v>56</v>
      </c>
      <c r="AF1" s="83"/>
      <c r="AG1" s="83"/>
      <c r="AH1" s="83"/>
      <c r="AI1" s="83"/>
      <c r="AJ1" s="83"/>
      <c r="AK1" s="83"/>
      <c r="AL1" s="83"/>
    </row>
    <row r="2" spans="1:38" ht="12.75">
      <c r="A2" s="64" t="s">
        <v>29</v>
      </c>
      <c r="B2" s="44">
        <f ca="1">INDIRECT("foodbase!a2")</f>
        <v>0</v>
      </c>
      <c r="C2" s="78" t="s">
        <v>29</v>
      </c>
      <c r="D2" s="65" t="s">
        <v>11</v>
      </c>
      <c r="E2" s="65" t="s">
        <v>11</v>
      </c>
      <c r="F2" s="65" t="s">
        <v>12</v>
      </c>
      <c r="G2" s="65" t="s">
        <v>120</v>
      </c>
      <c r="H2" s="86" t="s">
        <v>137</v>
      </c>
      <c r="I2" s="88" t="s">
        <v>21</v>
      </c>
      <c r="K2" s="29">
        <f>$C2*foodbase!J2</f>
        <v>0</v>
      </c>
      <c r="Q2" s="28" t="s">
        <v>50</v>
      </c>
      <c r="R2" s="14" t="s">
        <v>13</v>
      </c>
      <c r="S2" s="14" t="s">
        <v>13</v>
      </c>
      <c r="T2" s="14" t="s">
        <v>13</v>
      </c>
      <c r="U2" s="14" t="s">
        <v>13</v>
      </c>
      <c r="V2" s="14" t="s">
        <v>13</v>
      </c>
      <c r="W2" s="14" t="s">
        <v>13</v>
      </c>
      <c r="X2" s="14" t="s">
        <v>13</v>
      </c>
      <c r="Y2" s="50" t="s">
        <v>14</v>
      </c>
      <c r="Z2" s="95"/>
      <c r="AA2" s="95"/>
      <c r="AB2" s="95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ht="12.75">
      <c r="A3" s="64" t="s">
        <v>29</v>
      </c>
      <c r="B3" s="45" t="str">
        <f ca="1">INDIRECT("foodbase!a3")</f>
        <v>Food</v>
      </c>
      <c r="C3" s="78" t="s">
        <v>121</v>
      </c>
      <c r="D3" s="65" t="s">
        <v>17</v>
      </c>
      <c r="E3" s="65" t="s">
        <v>17</v>
      </c>
      <c r="F3" s="65" t="s">
        <v>17</v>
      </c>
      <c r="G3" s="65" t="s">
        <v>17</v>
      </c>
      <c r="H3" s="86" t="s">
        <v>140</v>
      </c>
      <c r="I3" s="22">
        <f>SUM($D$5:$D$304)</f>
        <v>2003.5</v>
      </c>
      <c r="J3" s="71"/>
      <c r="Q3" s="107" t="s">
        <v>384</v>
      </c>
      <c r="R3" s="116">
        <v>2003.5</v>
      </c>
      <c r="S3" s="116"/>
      <c r="T3" s="113"/>
      <c r="U3" s="113"/>
      <c r="V3" s="113"/>
      <c r="W3" s="113"/>
      <c r="X3" s="113"/>
      <c r="Y3" s="105">
        <f>SUM(R3:X3)</f>
        <v>2003.5</v>
      </c>
      <c r="Z3" s="95"/>
      <c r="AA3" s="95"/>
      <c r="AB3" s="95"/>
      <c r="AC3" s="21" t="s">
        <v>146</v>
      </c>
      <c r="AD3" s="83"/>
      <c r="AE3" s="31" t="s">
        <v>147</v>
      </c>
      <c r="AF3" s="83"/>
      <c r="AG3" s="83"/>
      <c r="AH3" s="83"/>
      <c r="AI3" s="83"/>
      <c r="AJ3" s="83"/>
      <c r="AK3" s="83"/>
      <c r="AL3" s="83"/>
    </row>
    <row r="4" spans="1:38" ht="12.75">
      <c r="A4" s="66" t="s">
        <v>29</v>
      </c>
      <c r="B4" s="67" t="str">
        <f ca="1">INDIRECT("foodbase!a4")</f>
        <v>---------------------</v>
      </c>
      <c r="C4" s="79" t="s">
        <v>14</v>
      </c>
      <c r="D4" s="68" t="s">
        <v>14</v>
      </c>
      <c r="E4" s="68" t="s">
        <v>14</v>
      </c>
      <c r="F4" s="68" t="s">
        <v>19</v>
      </c>
      <c r="G4" s="68" t="s">
        <v>19</v>
      </c>
      <c r="H4" s="87" t="s">
        <v>135</v>
      </c>
      <c r="I4" s="81">
        <v>2300</v>
      </c>
      <c r="Q4" s="91" t="s">
        <v>385</v>
      </c>
      <c r="R4" s="81">
        <v>2300</v>
      </c>
      <c r="S4" s="81"/>
      <c r="T4" s="114"/>
      <c r="U4" s="114"/>
      <c r="V4" s="114"/>
      <c r="W4" s="114"/>
      <c r="X4" s="114"/>
      <c r="Y4" s="106">
        <f>SUM(R4:X4)</f>
        <v>2300</v>
      </c>
      <c r="Z4" s="95"/>
      <c r="AA4" s="95"/>
      <c r="AB4" s="95"/>
      <c r="AC4" s="83"/>
      <c r="AD4" s="83"/>
      <c r="AE4" s="31" t="s">
        <v>148</v>
      </c>
      <c r="AF4" s="83"/>
      <c r="AG4" s="83"/>
      <c r="AH4" s="83"/>
      <c r="AI4" s="83"/>
      <c r="AJ4" s="83"/>
      <c r="AK4" s="83"/>
      <c r="AL4" s="83"/>
    </row>
    <row r="5" spans="1:38" ht="12.75">
      <c r="A5" s="57" t="s">
        <v>29</v>
      </c>
      <c r="B5" s="108">
        <f ca="1">INDIRECT("foodbase!a5")</f>
        <v>0</v>
      </c>
      <c r="C5" s="76"/>
      <c r="D5" s="29">
        <f ca="1">C5*INDIRECT("foodbase!c5")</f>
        <v>0</v>
      </c>
      <c r="E5" s="29">
        <f ca="1">C5*INDIRECT("foodbase!d5")</f>
        <v>0</v>
      </c>
      <c r="F5" s="29">
        <f ca="1">C5*INDIRECT("foodbase!e5")</f>
        <v>0</v>
      </c>
      <c r="G5" s="29">
        <f ca="1">C5*INDIRECT("foodbase!f5")</f>
        <v>0</v>
      </c>
      <c r="H5" s="87" t="s">
        <v>136</v>
      </c>
      <c r="I5" s="81">
        <v>200</v>
      </c>
      <c r="Q5" s="91" t="s">
        <v>386</v>
      </c>
      <c r="R5" s="81">
        <v>200</v>
      </c>
      <c r="S5" s="81"/>
      <c r="T5" s="114"/>
      <c r="U5" s="114"/>
      <c r="V5" s="114"/>
      <c r="W5" s="114"/>
      <c r="X5" s="114"/>
      <c r="Y5" s="106">
        <f>SUM(R5:X5)</f>
        <v>200</v>
      </c>
      <c r="Z5" s="95"/>
      <c r="AA5" s="95"/>
      <c r="AB5" s="95"/>
      <c r="AC5" s="83"/>
      <c r="AD5" s="83"/>
      <c r="AE5" s="83"/>
      <c r="AF5" s="83"/>
      <c r="AG5" s="83"/>
      <c r="AH5" s="83"/>
      <c r="AI5" s="83"/>
      <c r="AJ5" s="83"/>
      <c r="AK5" s="83"/>
      <c r="AL5" s="83"/>
    </row>
    <row r="6" spans="1:38" ht="12.75">
      <c r="A6" s="57" t="s">
        <v>29</v>
      </c>
      <c r="B6" s="108" t="str">
        <f ca="1">INDIRECT("foodbase!a6")</f>
        <v>Protein Plus bar</v>
      </c>
      <c r="C6" s="76"/>
      <c r="D6" s="29">
        <f ca="1">C6*INDIRECT("foodbase!c6")</f>
        <v>0</v>
      </c>
      <c r="E6" s="29">
        <f ca="1">C6*INDIRECT("foodbase!d6")</f>
        <v>0</v>
      </c>
      <c r="F6" s="29">
        <f ca="1">C6*INDIRECT("foodbase!e6")</f>
        <v>0</v>
      </c>
      <c r="G6" s="29">
        <f ca="1">C6*INDIRECT("foodbase!f6")</f>
        <v>0</v>
      </c>
      <c r="H6" s="87" t="s">
        <v>138</v>
      </c>
      <c r="I6" s="32">
        <f>$I3-$I4-$I5</f>
        <v>-496.5</v>
      </c>
      <c r="Q6" s="91" t="s">
        <v>134</v>
      </c>
      <c r="R6" s="120">
        <v>-496.5</v>
      </c>
      <c r="S6" s="116"/>
      <c r="T6" s="113"/>
      <c r="U6" s="113"/>
      <c r="V6" s="113"/>
      <c r="W6" s="113"/>
      <c r="X6" s="113"/>
      <c r="Y6" s="106">
        <f>SUM(R6:X6)</f>
        <v>-496.5</v>
      </c>
      <c r="Z6" s="95"/>
      <c r="AA6" s="95"/>
      <c r="AB6" s="95"/>
      <c r="AC6" s="72" t="s">
        <v>149</v>
      </c>
      <c r="AD6" s="83"/>
      <c r="AE6" s="31" t="s">
        <v>55</v>
      </c>
      <c r="AF6" s="83"/>
      <c r="AG6" s="31" t="s">
        <v>114</v>
      </c>
      <c r="AH6" s="83"/>
      <c r="AI6" s="83"/>
      <c r="AJ6" s="83"/>
      <c r="AK6" s="83"/>
      <c r="AL6" s="83"/>
    </row>
    <row r="7" spans="1:38" ht="12.75">
      <c r="A7" s="57" t="s">
        <v>29</v>
      </c>
      <c r="B7" s="108" t="str">
        <f ca="1">INDIRECT("foodbase!a7")</f>
        <v>granola bar</v>
      </c>
      <c r="C7" s="76">
        <v>1.35</v>
      </c>
      <c r="D7" s="29">
        <f ca="1">C7*INDIRECT("foodbase!c7")</f>
        <v>229.50000000000003</v>
      </c>
      <c r="E7" s="29">
        <f ca="1">C7*INDIRECT("foodbase!d7")</f>
        <v>54</v>
      </c>
      <c r="F7" s="29">
        <f ca="1">C7*INDIRECT("foodbase!e7")</f>
        <v>5.4</v>
      </c>
      <c r="G7" s="29">
        <f ca="1">C7*INDIRECT("foodbase!f7")</f>
        <v>0</v>
      </c>
      <c r="H7" s="88" t="s">
        <v>29</v>
      </c>
      <c r="I7" s="89"/>
      <c r="Q7" s="91" t="s">
        <v>22</v>
      </c>
      <c r="R7" s="121"/>
      <c r="S7" s="117"/>
      <c r="T7" s="113"/>
      <c r="U7" s="113"/>
      <c r="V7" s="113"/>
      <c r="W7" s="113"/>
      <c r="X7" s="113"/>
      <c r="Y7" s="106"/>
      <c r="Z7" s="95"/>
      <c r="AA7" s="95"/>
      <c r="AB7" s="95"/>
      <c r="AC7" s="83" t="s">
        <v>150</v>
      </c>
      <c r="AD7" s="83"/>
      <c r="AE7" s="31" t="s">
        <v>54</v>
      </c>
      <c r="AF7" s="83"/>
      <c r="AG7" s="21" t="s">
        <v>151</v>
      </c>
      <c r="AH7" s="83"/>
      <c r="AI7" s="83"/>
      <c r="AJ7" s="83"/>
      <c r="AK7" s="83"/>
      <c r="AL7" s="83"/>
    </row>
    <row r="8" spans="1:38" ht="12.75">
      <c r="A8" s="57" t="s">
        <v>29</v>
      </c>
      <c r="B8" s="108" t="str">
        <f ca="1">INDIRECT("foodbase!a8")</f>
        <v>olive oil</v>
      </c>
      <c r="C8" s="76">
        <v>1</v>
      </c>
      <c r="D8" s="29">
        <f ca="1">C8*INDIRECT("foodbase!c8")</f>
        <v>120</v>
      </c>
      <c r="E8" s="29">
        <f ca="1">C8*INDIRECT("foodbase!d8")</f>
        <v>120</v>
      </c>
      <c r="F8" s="29">
        <f ca="1">C8*INDIRECT("foodbase!e8")</f>
        <v>0</v>
      </c>
      <c r="G8" s="29">
        <f ca="1">C8*INDIRECT("foodbase!f8")</f>
        <v>0</v>
      </c>
      <c r="H8" s="88" t="s">
        <v>60</v>
      </c>
      <c r="I8" s="89"/>
      <c r="Q8" s="92" t="s">
        <v>142</v>
      </c>
      <c r="R8" s="121"/>
      <c r="S8" s="117"/>
      <c r="T8" s="113"/>
      <c r="U8" s="113"/>
      <c r="V8" s="113"/>
      <c r="W8" s="113"/>
      <c r="X8" s="113"/>
      <c r="Y8" s="106"/>
      <c r="Z8" s="95"/>
      <c r="AA8" s="95"/>
      <c r="AB8" s="95"/>
      <c r="AC8" s="83" t="s">
        <v>29</v>
      </c>
      <c r="AD8" s="83"/>
      <c r="AE8" s="31" t="s">
        <v>57</v>
      </c>
      <c r="AF8" s="83"/>
      <c r="AG8" s="83" t="s">
        <v>152</v>
      </c>
      <c r="AH8" s="83"/>
      <c r="AI8" s="83"/>
      <c r="AJ8" s="83"/>
      <c r="AK8" s="83"/>
      <c r="AL8" s="83"/>
    </row>
    <row r="9" spans="1:38" ht="12.75">
      <c r="A9" s="57" t="s">
        <v>29</v>
      </c>
      <c r="B9" s="108" t="str">
        <f ca="1">INDIRECT("foodbase!a9")</f>
        <v>bagel</v>
      </c>
      <c r="C9" s="76"/>
      <c r="D9" s="29">
        <f ca="1">C9*INDIRECT("foodbase!c9")</f>
        <v>0</v>
      </c>
      <c r="E9" s="29">
        <f ca="1">C9*INDIRECT("foodbase!d9")</f>
        <v>0</v>
      </c>
      <c r="F9" s="29">
        <f ca="1">C9*INDIRECT("foodbase!e9")</f>
        <v>0</v>
      </c>
      <c r="G9" s="29">
        <f ca="1">C9*INDIRECT("foodbase!f9")</f>
        <v>0</v>
      </c>
      <c r="H9" s="87" t="s">
        <v>61</v>
      </c>
      <c r="I9" s="32">
        <f>SUM($F$5:$F$304)</f>
        <v>192.4</v>
      </c>
      <c r="Q9" s="92" t="s">
        <v>388</v>
      </c>
      <c r="R9" s="120">
        <v>192.4</v>
      </c>
      <c r="S9" s="116"/>
      <c r="T9" s="113"/>
      <c r="U9" s="113"/>
      <c r="V9" s="113"/>
      <c r="W9" s="113"/>
      <c r="X9" s="113"/>
      <c r="Y9" s="106">
        <f>SUM(R9:X9)</f>
        <v>192.4</v>
      </c>
      <c r="Z9" s="95"/>
      <c r="AA9" s="95"/>
      <c r="AB9" s="95"/>
      <c r="AC9" s="83"/>
      <c r="AD9" s="83"/>
      <c r="AE9" s="21" t="s">
        <v>29</v>
      </c>
      <c r="AF9" s="83"/>
      <c r="AG9" s="83"/>
      <c r="AH9" s="83" t="s">
        <v>29</v>
      </c>
      <c r="AI9" s="83"/>
      <c r="AJ9" s="83"/>
      <c r="AK9" s="83"/>
      <c r="AL9" s="83"/>
    </row>
    <row r="10" spans="1:38" ht="12.75">
      <c r="A10" s="57" t="s">
        <v>29</v>
      </c>
      <c r="B10" s="108" t="str">
        <f ca="1">INDIRECT("foodbase!a10")</f>
        <v>green tea</v>
      </c>
      <c r="C10" s="76">
        <v>1</v>
      </c>
      <c r="D10" s="29">
        <f ca="1">C10*INDIRECT("foodbase!c10")</f>
        <v>140</v>
      </c>
      <c r="E10" s="29">
        <f ca="1">C10*INDIRECT("foodbase!d10")</f>
        <v>0</v>
      </c>
      <c r="F10" s="29">
        <f ca="1">C10*INDIRECT("foodbase!e10")</f>
        <v>0</v>
      </c>
      <c r="G10" s="29">
        <f ca="1">C10*INDIRECT("foodbase!f10")</f>
        <v>0</v>
      </c>
      <c r="H10" s="87" t="s">
        <v>387</v>
      </c>
      <c r="I10" s="32">
        <f>(SUM(D$5:D$304)-(SUM(E$5:E$304)+4*SUM(F$5:F$304)))/4</f>
        <v>172.47500000000002</v>
      </c>
      <c r="Q10" s="92" t="s">
        <v>389</v>
      </c>
      <c r="R10" s="120">
        <v>172.475</v>
      </c>
      <c r="S10" s="116"/>
      <c r="T10" s="113"/>
      <c r="U10" s="113"/>
      <c r="V10" s="113"/>
      <c r="W10" s="113"/>
      <c r="X10" s="113"/>
      <c r="Y10" s="106">
        <f>SUM(R10:X10)</f>
        <v>172.475</v>
      </c>
      <c r="Z10" s="95"/>
      <c r="AA10" s="95"/>
      <c r="AB10" s="95"/>
      <c r="AC10" s="72" t="s">
        <v>153</v>
      </c>
      <c r="AD10" s="83"/>
      <c r="AE10" s="31" t="s">
        <v>51</v>
      </c>
      <c r="AF10" s="83"/>
      <c r="AG10" s="21" t="s">
        <v>23</v>
      </c>
      <c r="AH10" s="83"/>
      <c r="AI10" s="83"/>
      <c r="AJ10" s="83"/>
      <c r="AK10" s="83"/>
      <c r="AL10" s="83"/>
    </row>
    <row r="11" spans="1:38" ht="12.75">
      <c r="A11" s="57" t="s">
        <v>29</v>
      </c>
      <c r="B11" s="108" t="str">
        <f ca="1">INDIRECT("foodbase!a11")</f>
        <v>peanuts</v>
      </c>
      <c r="C11" s="76">
        <v>1</v>
      </c>
      <c r="D11" s="29">
        <f ca="1">C11*INDIRECT("foodbase!c11")</f>
        <v>250</v>
      </c>
      <c r="E11" s="29">
        <f ca="1">C11*INDIRECT("foodbase!d11")</f>
        <v>160</v>
      </c>
      <c r="F11" s="29">
        <f ca="1">C11*INDIRECT("foodbase!e11")</f>
        <v>10</v>
      </c>
      <c r="G11" s="29">
        <f ca="1">C11*INDIRECT("foodbase!f11")</f>
        <v>0</v>
      </c>
      <c r="H11" s="87" t="s">
        <v>62</v>
      </c>
      <c r="I11" s="32">
        <f>SUM($E$5:$E$304)/9</f>
        <v>60.44444444444444</v>
      </c>
      <c r="Q11" s="92" t="s">
        <v>62</v>
      </c>
      <c r="R11" s="120">
        <v>60.44444444444444</v>
      </c>
      <c r="S11" s="116"/>
      <c r="T11" s="113"/>
      <c r="U11" s="113"/>
      <c r="V11" s="113"/>
      <c r="W11" s="113"/>
      <c r="X11" s="113"/>
      <c r="Y11" s="106">
        <f>SUM(R11:X11)</f>
        <v>60.44444444444444</v>
      </c>
      <c r="Z11" s="95"/>
      <c r="AA11" s="95"/>
      <c r="AB11" s="95"/>
      <c r="AC11" s="83" t="s">
        <v>154</v>
      </c>
      <c r="AD11" s="83"/>
      <c r="AE11" s="31" t="s">
        <v>53</v>
      </c>
      <c r="AF11" s="83"/>
      <c r="AG11" s="21" t="s">
        <v>25</v>
      </c>
      <c r="AH11" s="83"/>
      <c r="AI11" s="83"/>
      <c r="AJ11" s="83"/>
      <c r="AK11" s="83"/>
      <c r="AL11" s="83"/>
    </row>
    <row r="12" spans="1:38" ht="12.75">
      <c r="A12" s="57" t="s">
        <v>29</v>
      </c>
      <c r="B12" s="108" t="str">
        <f ca="1">INDIRECT("foodbase!a12")</f>
        <v>Chicken fajita pita</v>
      </c>
      <c r="C12" s="76">
        <v>1.5</v>
      </c>
      <c r="D12" s="29">
        <f ca="1">C12*INDIRECT("foodbase!c12")</f>
        <v>420</v>
      </c>
      <c r="E12" s="29">
        <f ca="1">C12*INDIRECT("foodbase!d12")</f>
        <v>120</v>
      </c>
      <c r="F12" s="29">
        <f ca="1">C12*INDIRECT("foodbase!e12")</f>
        <v>36</v>
      </c>
      <c r="G12" s="29">
        <f ca="1">C12*INDIRECT("foodbase!f12")</f>
        <v>0</v>
      </c>
      <c r="H12" s="88" t="s">
        <v>29</v>
      </c>
      <c r="I12" s="33"/>
      <c r="Q12" s="91" t="s">
        <v>22</v>
      </c>
      <c r="R12" s="104"/>
      <c r="S12" s="115"/>
      <c r="T12" s="115"/>
      <c r="U12" s="115"/>
      <c r="V12" s="115"/>
      <c r="W12" s="115"/>
      <c r="X12" s="115"/>
      <c r="Y12" s="51"/>
      <c r="Z12" s="95"/>
      <c r="AA12" s="95"/>
      <c r="AB12" s="95"/>
      <c r="AC12" s="83" t="s">
        <v>29</v>
      </c>
      <c r="AD12" s="83"/>
      <c r="AE12" s="31" t="s">
        <v>52</v>
      </c>
      <c r="AF12" s="83"/>
      <c r="AG12" s="21" t="s">
        <v>24</v>
      </c>
      <c r="AH12" s="83"/>
      <c r="AI12" s="83"/>
      <c r="AJ12" s="83"/>
      <c r="AK12" s="83"/>
      <c r="AL12" s="83"/>
    </row>
    <row r="13" spans="1:38" ht="12.75">
      <c r="A13" s="57" t="s">
        <v>29</v>
      </c>
      <c r="B13" s="108">
        <f ca="1">INDIRECT("foodbase!a13")</f>
        <v>0</v>
      </c>
      <c r="C13" s="76">
        <v>1</v>
      </c>
      <c r="D13" s="29">
        <f ca="1">C13*INDIRECT("foodbase!c13")</f>
        <v>0</v>
      </c>
      <c r="E13" s="29">
        <f ca="1">C13*INDIRECT("foodbase!d13")</f>
        <v>0</v>
      </c>
      <c r="F13" s="29">
        <f ca="1">C13*INDIRECT("foodbase!e13")</f>
        <v>0</v>
      </c>
      <c r="G13" s="29">
        <f ca="1">C13*INDIRECT("foodbase!f13")</f>
        <v>0</v>
      </c>
      <c r="H13" s="88" t="s">
        <v>59</v>
      </c>
      <c r="I13" s="33"/>
      <c r="Q13" s="91" t="s">
        <v>116</v>
      </c>
      <c r="R13" s="104"/>
      <c r="S13" s="115"/>
      <c r="T13" s="115"/>
      <c r="U13" s="115"/>
      <c r="V13" s="115"/>
      <c r="W13" s="115"/>
      <c r="X13" s="115"/>
      <c r="Y13" s="51"/>
      <c r="Z13" s="95"/>
      <c r="AA13" s="95"/>
      <c r="AB13" s="95"/>
      <c r="AC13" s="83"/>
      <c r="AD13" s="83"/>
      <c r="AE13" s="83" t="s">
        <v>155</v>
      </c>
      <c r="AF13" s="83"/>
      <c r="AG13" s="83" t="s">
        <v>156</v>
      </c>
      <c r="AH13" s="83"/>
      <c r="AI13" s="83"/>
      <c r="AJ13" s="83"/>
      <c r="AK13" s="83"/>
      <c r="AL13" s="83"/>
    </row>
    <row r="14" spans="1:38" ht="12.75">
      <c r="A14" s="57" t="s">
        <v>29</v>
      </c>
      <c r="B14" s="108" t="str">
        <f ca="1">INDIRECT("foodbase!a14")</f>
        <v>Balance bar</v>
      </c>
      <c r="C14" s="76"/>
      <c r="D14" s="29">
        <f ca="1">C14*INDIRECT("foodbase!c14")</f>
        <v>0</v>
      </c>
      <c r="E14" s="29">
        <f ca="1">C14*INDIRECT("foodbase!d14")</f>
        <v>0</v>
      </c>
      <c r="F14" s="29">
        <f ca="1">C14*INDIRECT("foodbase!e14")</f>
        <v>0</v>
      </c>
      <c r="G14" s="29">
        <f ca="1">C14*INDIRECT("foodbase!f14")</f>
        <v>0</v>
      </c>
      <c r="H14" s="87" t="s">
        <v>63</v>
      </c>
      <c r="I14" s="33">
        <f>($I$9*4)/($I$3+0.000001)</f>
        <v>0.3841277761995868</v>
      </c>
      <c r="Q14" s="92" t="s">
        <v>63</v>
      </c>
      <c r="R14" s="104">
        <v>0.3841277761995868</v>
      </c>
      <c r="S14" s="115"/>
      <c r="T14" s="115"/>
      <c r="U14" s="115"/>
      <c r="V14" s="115"/>
      <c r="W14" s="115"/>
      <c r="X14" s="115"/>
      <c r="Y14" s="52">
        <f>SUM(R14:X14)</f>
        <v>0.3841277761995868</v>
      </c>
      <c r="Z14" s="95"/>
      <c r="AA14" s="95"/>
      <c r="AB14" s="95"/>
      <c r="AC14" s="83"/>
      <c r="AD14" s="83"/>
      <c r="AE14" s="83"/>
      <c r="AF14" s="83"/>
      <c r="AG14" s="83"/>
      <c r="AH14" s="83"/>
      <c r="AI14" s="83"/>
      <c r="AJ14" s="83"/>
      <c r="AK14" s="83"/>
      <c r="AL14" s="83"/>
    </row>
    <row r="15" spans="1:38" ht="12.75">
      <c r="A15" s="57" t="s">
        <v>29</v>
      </c>
      <c r="B15" s="108" t="str">
        <f ca="1">INDIRECT("foodbase!a15")</f>
        <v>soy meat (yves deli)</v>
      </c>
      <c r="C15" s="76">
        <v>3</v>
      </c>
      <c r="D15" s="29">
        <f ca="1">C15*INDIRECT("foodbase!c15")</f>
        <v>525</v>
      </c>
      <c r="E15" s="29">
        <f ca="1">C15*INDIRECT("foodbase!d15")</f>
        <v>0</v>
      </c>
      <c r="F15" s="29">
        <f ca="1">C15*INDIRECT("foodbase!e15")</f>
        <v>111</v>
      </c>
      <c r="G15" s="29">
        <f ca="1">C15*INDIRECT("foodbase!f15")</f>
        <v>0</v>
      </c>
      <c r="H15" s="87" t="s">
        <v>64</v>
      </c>
      <c r="I15" s="33">
        <f>($I$10*4)/($I$3+0.0001)</f>
        <v>0.3443473748765973</v>
      </c>
      <c r="Q15" s="92" t="s">
        <v>64</v>
      </c>
      <c r="R15" s="104">
        <v>0.3443473748765973</v>
      </c>
      <c r="S15" s="115"/>
      <c r="T15" s="115"/>
      <c r="U15" s="115"/>
      <c r="V15" s="115"/>
      <c r="W15" s="115"/>
      <c r="X15" s="115"/>
      <c r="Y15" s="52">
        <f>SUM(R15:X15)</f>
        <v>0.3443473748765973</v>
      </c>
      <c r="Z15" s="95"/>
      <c r="AA15" s="95"/>
      <c r="AB15" s="95"/>
      <c r="AC15" s="21" t="s">
        <v>157</v>
      </c>
      <c r="AD15" s="83"/>
      <c r="AE15" s="21" t="s">
        <v>158</v>
      </c>
      <c r="AF15" s="83"/>
      <c r="AG15" s="31" t="s">
        <v>159</v>
      </c>
      <c r="AH15" s="83"/>
      <c r="AI15" s="83"/>
      <c r="AJ15" s="83"/>
      <c r="AK15" s="83"/>
      <c r="AL15" s="83"/>
    </row>
    <row r="16" spans="1:38" ht="12.75">
      <c r="A16" s="57" t="s">
        <v>29</v>
      </c>
      <c r="B16" s="108" t="str">
        <f ca="1">INDIRECT("foodbase!a16")</f>
        <v>tofu (extra firm)</v>
      </c>
      <c r="C16" s="76">
        <v>1</v>
      </c>
      <c r="D16" s="29">
        <f ca="1">C16*INDIRECT("foodbase!c16")</f>
        <v>180</v>
      </c>
      <c r="E16" s="29">
        <f ca="1">C16*INDIRECT("foodbase!d16")</f>
        <v>90</v>
      </c>
      <c r="F16" s="29">
        <f ca="1">C16*INDIRECT("foodbase!e16")</f>
        <v>30</v>
      </c>
      <c r="G16" s="29">
        <f ca="1">C16*INDIRECT("foodbase!f16")</f>
        <v>0</v>
      </c>
      <c r="H16" s="87" t="s">
        <v>65</v>
      </c>
      <c r="I16" s="33">
        <f>SUM($E$5:$E$304)/($I$3+0.0001)</f>
        <v>0.2715248179922726</v>
      </c>
      <c r="Q16" s="92" t="s">
        <v>65</v>
      </c>
      <c r="R16" s="104">
        <v>0.2715248179922726</v>
      </c>
      <c r="S16" s="115"/>
      <c r="T16" s="115"/>
      <c r="U16" s="115"/>
      <c r="V16" s="115"/>
      <c r="W16" s="115"/>
      <c r="X16" s="115"/>
      <c r="Y16" s="52">
        <f>SUM(R16:X16)</f>
        <v>0.2715248179922726</v>
      </c>
      <c r="Z16" s="95"/>
      <c r="AA16" s="95"/>
      <c r="AB16" s="95"/>
      <c r="AC16" s="83"/>
      <c r="AD16" s="83"/>
      <c r="AE16" s="21" t="s">
        <v>160</v>
      </c>
      <c r="AF16" s="83"/>
      <c r="AG16" s="21" t="s">
        <v>161</v>
      </c>
      <c r="AH16" s="83"/>
      <c r="AI16" s="83"/>
      <c r="AJ16" s="83"/>
      <c r="AK16" s="83"/>
      <c r="AL16" s="83"/>
    </row>
    <row r="17" spans="1:38" ht="12.75">
      <c r="A17" s="57" t="s">
        <v>29</v>
      </c>
      <c r="B17" s="108" t="str">
        <f ca="1">INDIRECT("foodbase!a17")</f>
        <v>beans</v>
      </c>
      <c r="C17" s="76"/>
      <c r="D17" s="29">
        <f ca="1">C17*INDIRECT("foodbase!c17")</f>
        <v>0</v>
      </c>
      <c r="E17" s="29">
        <f ca="1">C17*INDIRECT("foodbase!d17")</f>
        <v>0</v>
      </c>
      <c r="F17" s="29">
        <f ca="1">C17*INDIRECT("foodbase!e17")</f>
        <v>0</v>
      </c>
      <c r="G17" s="29">
        <f ca="1">C17*INDIRECT("foodbase!f17")</f>
        <v>0</v>
      </c>
      <c r="H17" s="88" t="s">
        <v>29</v>
      </c>
      <c r="I17" s="33" t="s">
        <v>29</v>
      </c>
      <c r="Q17" s="91" t="s">
        <v>29</v>
      </c>
      <c r="R17" s="104" t="s">
        <v>29</v>
      </c>
      <c r="S17" s="115"/>
      <c r="T17" s="115"/>
      <c r="U17" s="115"/>
      <c r="V17" s="115"/>
      <c r="W17" s="115"/>
      <c r="X17" s="115"/>
      <c r="Y17" s="51" t="s">
        <v>29</v>
      </c>
      <c r="Z17" s="95"/>
      <c r="AA17" s="95"/>
      <c r="AB17" s="95"/>
      <c r="AC17" s="83"/>
      <c r="AD17" s="83"/>
      <c r="AE17" s="21" t="s">
        <v>162</v>
      </c>
      <c r="AF17" s="83"/>
      <c r="AG17" s="21" t="s">
        <v>163</v>
      </c>
      <c r="AH17" s="83"/>
      <c r="AI17" s="83"/>
      <c r="AJ17" s="83"/>
      <c r="AK17" s="83"/>
      <c r="AL17" s="83"/>
    </row>
    <row r="18" spans="1:38" ht="12.75">
      <c r="A18" s="57" t="s">
        <v>29</v>
      </c>
      <c r="B18" s="108" t="str">
        <f ca="1">INDIRECT("foodbase!a18")</f>
        <v>fruit cocktail</v>
      </c>
      <c r="C18" s="76"/>
      <c r="D18" s="29">
        <f ca="1">C18*INDIRECT("foodbase!c18")</f>
        <v>0</v>
      </c>
      <c r="E18" s="29">
        <f ca="1">C18*INDIRECT("foodbase!d18")</f>
        <v>0</v>
      </c>
      <c r="F18" s="29">
        <f ca="1">C18*INDIRECT("foodbase!e18")</f>
        <v>0</v>
      </c>
      <c r="G18" s="29">
        <f ca="1">C18*INDIRECT("foodbase!f18")</f>
        <v>0</v>
      </c>
      <c r="H18" s="88" t="s">
        <v>131</v>
      </c>
      <c r="I18" s="32">
        <f>SUM($G$5:$G$304)</f>
        <v>0</v>
      </c>
      <c r="Q18" s="91" t="s">
        <v>141</v>
      </c>
      <c r="R18" s="120">
        <v>0</v>
      </c>
      <c r="S18" s="116"/>
      <c r="T18" s="116"/>
      <c r="U18" s="116"/>
      <c r="V18" s="116"/>
      <c r="W18" s="116"/>
      <c r="X18" s="116"/>
      <c r="Y18" s="51">
        <f>SUM(R18:X18)</f>
        <v>0</v>
      </c>
      <c r="Z18" s="95"/>
      <c r="AA18" s="95"/>
      <c r="AB18" s="95"/>
      <c r="AC18" s="21" t="s">
        <v>29</v>
      </c>
      <c r="AD18" s="83"/>
      <c r="AE18" s="21"/>
      <c r="AF18" s="83"/>
      <c r="AG18" s="21" t="s">
        <v>29</v>
      </c>
      <c r="AH18" s="83" t="s">
        <v>29</v>
      </c>
      <c r="AI18" s="83"/>
      <c r="AJ18" s="83"/>
      <c r="AK18" s="83"/>
      <c r="AL18" s="83"/>
    </row>
    <row r="19" spans="1:38" ht="12.75">
      <c r="A19" s="57" t="s">
        <v>29</v>
      </c>
      <c r="B19" s="108">
        <f ca="1">INDIRECT("foodbase!a19")</f>
        <v>0</v>
      </c>
      <c r="C19" s="76"/>
      <c r="D19" s="29">
        <f ca="1">C19*INDIRECT("foodbase!c19")</f>
        <v>0</v>
      </c>
      <c r="E19" s="29">
        <f ca="1">C19*INDIRECT("foodbase!d19")</f>
        <v>0</v>
      </c>
      <c r="F19" s="29">
        <f ca="1">C19*INDIRECT("foodbase!e19")</f>
        <v>0</v>
      </c>
      <c r="G19" s="29">
        <f ca="1">C19*INDIRECT("foodbase!f19")</f>
        <v>0</v>
      </c>
      <c r="H19" s="49" t="s">
        <v>29</v>
      </c>
      <c r="Q19" s="91" t="s">
        <v>29</v>
      </c>
      <c r="R19" s="104"/>
      <c r="S19" s="104"/>
      <c r="T19" s="104"/>
      <c r="U19" s="104"/>
      <c r="V19" s="104"/>
      <c r="W19" s="104"/>
      <c r="X19" s="104"/>
      <c r="Y19" s="52" t="s">
        <v>29</v>
      </c>
      <c r="Z19" s="95"/>
      <c r="AA19" s="95"/>
      <c r="AB19" s="95"/>
      <c r="AC19" s="93"/>
      <c r="AD19" s="93"/>
      <c r="AE19" s="93"/>
      <c r="AF19" s="93"/>
      <c r="AG19" s="93"/>
      <c r="AH19" s="93"/>
      <c r="AI19" s="93"/>
      <c r="AJ19" s="93"/>
      <c r="AK19" s="7"/>
      <c r="AL19" s="7"/>
    </row>
    <row r="20" spans="1:42" ht="12.75">
      <c r="A20" s="57" t="s">
        <v>29</v>
      </c>
      <c r="B20" s="108" t="str">
        <f ca="1">INDIRECT("foodbase!a20")</f>
        <v>apple</v>
      </c>
      <c r="C20" s="76"/>
      <c r="D20" s="29">
        <f ca="1">C20*INDIRECT("foodbase!c20")</f>
        <v>0</v>
      </c>
      <c r="E20" s="29">
        <f ca="1">C20*INDIRECT("foodbase!d20")</f>
        <v>0</v>
      </c>
      <c r="F20" s="29">
        <f ca="1">C20*INDIRECT("foodbase!e20")</f>
        <v>0</v>
      </c>
      <c r="G20" s="29">
        <f ca="1">C20*INDIRECT("foodbase!f20")</f>
        <v>0</v>
      </c>
      <c r="H20" s="49" t="s">
        <v>29</v>
      </c>
      <c r="I20" s="49" t="s">
        <v>29</v>
      </c>
      <c r="Q20" s="93"/>
      <c r="R20" s="94"/>
      <c r="S20" s="94"/>
      <c r="T20" s="93"/>
      <c r="U20" s="93"/>
      <c r="V20" s="93"/>
      <c r="W20" s="93"/>
      <c r="X20" s="93"/>
      <c r="Y20" s="95"/>
      <c r="Z20" s="95"/>
      <c r="AA20" s="95"/>
      <c r="AB20" s="95"/>
      <c r="AC20" s="30" t="s">
        <v>29</v>
      </c>
      <c r="AD20" s="93"/>
      <c r="AE20" s="93"/>
      <c r="AF20" s="93"/>
      <c r="AG20" s="93"/>
      <c r="AH20" s="30" t="s">
        <v>29</v>
      </c>
      <c r="AI20" s="93" t="s">
        <v>29</v>
      </c>
      <c r="AJ20" s="93"/>
      <c r="AK20" s="7"/>
      <c r="AP20" t="s">
        <v>29</v>
      </c>
    </row>
    <row r="21" spans="2:37" ht="12.75">
      <c r="B21" s="108" t="str">
        <f ca="1">INDIRECT("foodbase!a21")</f>
        <v>banana</v>
      </c>
      <c r="C21" s="76">
        <v>1</v>
      </c>
      <c r="D21" s="29">
        <f ca="1">C21*INDIRECT("foodbase!c21")</f>
        <v>139</v>
      </c>
      <c r="E21" s="29">
        <f ca="1">C21*INDIRECT("foodbase!d21")</f>
        <v>0</v>
      </c>
      <c r="F21" s="29">
        <f ca="1">C21*INDIRECT("foodbase!e21")</f>
        <v>0</v>
      </c>
      <c r="G21" s="29">
        <f ca="1">C21*INDIRECT("foodbase!f21")</f>
        <v>0</v>
      </c>
      <c r="H21" s="48" t="s">
        <v>29</v>
      </c>
      <c r="Q21" s="94"/>
      <c r="R21" s="94"/>
      <c r="S21" s="94"/>
      <c r="T21" s="93"/>
      <c r="U21" s="96"/>
      <c r="V21" s="11"/>
      <c r="W21" s="11"/>
      <c r="X21" s="11"/>
      <c r="Y21" s="95"/>
      <c r="Z21" s="95"/>
      <c r="AA21" s="95"/>
      <c r="AB21" s="95"/>
      <c r="AK21" s="7"/>
    </row>
    <row r="22" spans="2:37" ht="12.75">
      <c r="B22" s="108" t="str">
        <f ca="1">INDIRECT("foodbase!a22")</f>
        <v>grapes</v>
      </c>
      <c r="C22" s="76"/>
      <c r="D22" s="29">
        <f ca="1">C22*INDIRECT("foodbase!c22")</f>
        <v>0</v>
      </c>
      <c r="E22" s="29">
        <f ca="1">C22*INDIRECT("foodbase!d22")</f>
        <v>0</v>
      </c>
      <c r="F22" s="29">
        <f ca="1">C22*INDIRECT("foodbase!e22")</f>
        <v>0</v>
      </c>
      <c r="G22" s="29">
        <f ca="1">C22*INDIRECT("foodbase!f22")</f>
        <v>0</v>
      </c>
      <c r="Q22" s="8"/>
      <c r="R22" s="94"/>
      <c r="S22" s="94"/>
      <c r="T22" s="6"/>
      <c r="U22" s="6"/>
      <c r="V22" s="6"/>
      <c r="W22" s="6"/>
      <c r="X22" s="6"/>
      <c r="Y22" s="54"/>
      <c r="Z22" s="54"/>
      <c r="AA22" s="54"/>
      <c r="AB22" s="54"/>
      <c r="AK22" s="7"/>
    </row>
    <row r="23" spans="2:37" ht="12.75">
      <c r="B23" s="108" t="str">
        <f ca="1">INDIRECT("foodbase!a23")</f>
        <v>plum</v>
      </c>
      <c r="C23" s="76"/>
      <c r="D23" s="29">
        <f ca="1">C23*INDIRECT("foodbase!c23")</f>
        <v>0</v>
      </c>
      <c r="E23" s="29">
        <f ca="1">C23*INDIRECT("foodbase!d23")</f>
        <v>0</v>
      </c>
      <c r="F23" s="29">
        <f ca="1">C23*INDIRECT("foodbase!e23")</f>
        <v>0</v>
      </c>
      <c r="G23" s="29">
        <f ca="1">C23*INDIRECT("foodbase!f23")</f>
        <v>0</v>
      </c>
      <c r="Q23" s="8"/>
      <c r="R23" s="5"/>
      <c r="S23" s="5"/>
      <c r="T23" s="5"/>
      <c r="U23" s="5"/>
      <c r="V23" s="5"/>
      <c r="W23" s="5"/>
      <c r="X23" s="5"/>
      <c r="AK23" s="7"/>
    </row>
    <row r="24" spans="2:37" ht="12.75">
      <c r="B24" s="108" t="str">
        <f ca="1">INDIRECT("foodbase!a24")</f>
        <v> </v>
      </c>
      <c r="C24" s="76"/>
      <c r="D24" s="29">
        <f ca="1">C24*INDIRECT("foodbase!c24")</f>
        <v>0</v>
      </c>
      <c r="E24" s="29">
        <f ca="1">C24*INDIRECT("foodbase!d24")</f>
        <v>0</v>
      </c>
      <c r="F24" s="29">
        <f ca="1">C24*INDIRECT("foodbase!e24")</f>
        <v>0</v>
      </c>
      <c r="G24" s="29">
        <f ca="1">C24*INDIRECT("foodbase!f24")</f>
        <v>0</v>
      </c>
      <c r="Q24" s="97"/>
      <c r="S24" s="5"/>
      <c r="AK24" s="7"/>
    </row>
    <row r="25" spans="2:37" ht="12.75">
      <c r="B25" s="108" t="str">
        <f ca="1">INDIRECT("foodbase!a25")</f>
        <v>campbell soup (veg beef)</v>
      </c>
      <c r="C25" s="76"/>
      <c r="D25" s="29">
        <f ca="1">C25*INDIRECT("foodbase!c25")</f>
        <v>0</v>
      </c>
      <c r="E25" s="29">
        <f ca="1">C25*INDIRECT("foodbase!d25")</f>
        <v>0</v>
      </c>
      <c r="F25" s="29">
        <f ca="1">C25*INDIRECT("foodbase!e25")</f>
        <v>0</v>
      </c>
      <c r="G25" s="29">
        <f ca="1">C25*INDIRECT("foodbase!f25")</f>
        <v>0</v>
      </c>
      <c r="H25" s="13"/>
      <c r="Q25" s="98"/>
      <c r="S25" s="5"/>
      <c r="AK25" s="7"/>
    </row>
    <row r="26" spans="2:37" ht="12.75">
      <c r="B26" s="108">
        <f ca="1">INDIRECT("foodbase!a26")</f>
        <v>0</v>
      </c>
      <c r="C26" s="76">
        <v>1</v>
      </c>
      <c r="D26" s="29">
        <f ca="1">C26*INDIRECT("foodbase!c26")</f>
        <v>0</v>
      </c>
      <c r="E26" s="29">
        <f ca="1">C26*INDIRECT("foodbase!d26")</f>
        <v>0</v>
      </c>
      <c r="F26" s="29">
        <f ca="1">C26*INDIRECT("foodbase!e26")</f>
        <v>0</v>
      </c>
      <c r="G26" s="29">
        <f ca="1">C26*INDIRECT("foodbase!f26")</f>
        <v>0</v>
      </c>
      <c r="Q26" s="98"/>
      <c r="S26" s="5"/>
      <c r="AK26" s="7"/>
    </row>
    <row r="27" spans="2:37" ht="12.75">
      <c r="B27" s="108" t="str">
        <f ca="1">INDIRECT("foodbase!a27")</f>
        <v>Protein bar (biotech)</v>
      </c>
      <c r="C27" s="76"/>
      <c r="D27" s="29">
        <f ca="1">C27*INDIRECT("foodbase!c27")</f>
        <v>0</v>
      </c>
      <c r="E27" s="29">
        <f ca="1">C27*INDIRECT("foodbase!d27")</f>
        <v>0</v>
      </c>
      <c r="F27" s="29">
        <f ca="1">C27*INDIRECT("foodbase!e27")</f>
        <v>0</v>
      </c>
      <c r="G27" s="29">
        <f ca="1">C27*INDIRECT("foodbase!f27")</f>
        <v>0</v>
      </c>
      <c r="H27" s="13"/>
      <c r="Q27" s="98"/>
      <c r="S27" s="5"/>
      <c r="AK27" s="7"/>
    </row>
    <row r="28" spans="2:37" ht="12.75">
      <c r="B28" s="108" t="str">
        <f ca="1">INDIRECT("foodbase!a28")</f>
        <v>carrot juice</v>
      </c>
      <c r="C28" s="76"/>
      <c r="D28" s="29">
        <f ca="1">C28*INDIRECT("foodbase!c28")</f>
        <v>0</v>
      </c>
      <c r="E28" s="29">
        <f ca="1">C28*INDIRECT("foodbase!d28")</f>
        <v>0</v>
      </c>
      <c r="F28" s="29">
        <f ca="1">C28*INDIRECT("foodbase!e28")</f>
        <v>0</v>
      </c>
      <c r="G28" s="29">
        <f ca="1">C28*INDIRECT("foodbase!f28")</f>
        <v>0</v>
      </c>
      <c r="Q28" s="98"/>
      <c r="S28" s="5"/>
      <c r="AK28" s="7"/>
    </row>
    <row r="29" spans="2:37" ht="12.75">
      <c r="B29" s="108">
        <f ca="1">INDIRECT("foodbase!a29")</f>
        <v>0</v>
      </c>
      <c r="C29" s="76"/>
      <c r="D29" s="29">
        <f ca="1">C29*INDIRECT("foodbase!c29")</f>
        <v>0</v>
      </c>
      <c r="E29" s="29">
        <f ca="1">C29*INDIRECT("foodbase!d29")</f>
        <v>0</v>
      </c>
      <c r="F29" s="29">
        <f ca="1">C29*INDIRECT("foodbase!e29")</f>
        <v>0</v>
      </c>
      <c r="G29" s="29">
        <f ca="1">C29*INDIRECT("foodbase!f29")</f>
        <v>0</v>
      </c>
      <c r="H29" s="13"/>
      <c r="Q29" s="98"/>
      <c r="S29" s="5"/>
      <c r="AK29" s="7"/>
    </row>
    <row r="30" spans="2:37" ht="12.75">
      <c r="B30" s="108">
        <f ca="1">INDIRECT("foodbase!a30")</f>
        <v>0</v>
      </c>
      <c r="C30" s="76"/>
      <c r="D30" s="29">
        <f ca="1">C30*INDIRECT("foodbase!c30")</f>
        <v>0</v>
      </c>
      <c r="E30" s="29">
        <f ca="1">C30*INDIRECT("foodbase!d30")</f>
        <v>0</v>
      </c>
      <c r="F30" s="29">
        <f ca="1">C30*INDIRECT("foodbase!e30")</f>
        <v>0</v>
      </c>
      <c r="G30" s="29">
        <f ca="1">C30*INDIRECT("foodbase!f30")</f>
        <v>0</v>
      </c>
      <c r="H30" s="13"/>
      <c r="Q30" s="98"/>
      <c r="R30" s="3"/>
      <c r="S30" s="5"/>
      <c r="AK30" s="7"/>
    </row>
    <row r="31" spans="2:37" ht="12.75">
      <c r="B31" s="108">
        <f ca="1">INDIRECT("foodbase!a31")</f>
        <v>0</v>
      </c>
      <c r="C31" s="76"/>
      <c r="D31" s="29">
        <f ca="1">C31*INDIRECT("foodbase!c31")</f>
        <v>0</v>
      </c>
      <c r="E31" s="29">
        <f ca="1">C31*INDIRECT("foodbase!d31")</f>
        <v>0</v>
      </c>
      <c r="F31" s="29">
        <f ca="1">C31*INDIRECT("foodbase!e31")</f>
        <v>0</v>
      </c>
      <c r="G31" s="29">
        <f ca="1">C31*INDIRECT("foodbase!f31")</f>
        <v>0</v>
      </c>
      <c r="H31" s="13"/>
      <c r="Q31" s="98"/>
      <c r="R31" s="3"/>
      <c r="S31" s="5"/>
      <c r="AC31" s="4" t="s">
        <v>27</v>
      </c>
      <c r="AD31" s="7"/>
      <c r="AE31" s="7"/>
      <c r="AF31" s="7"/>
      <c r="AG31" s="7"/>
      <c r="AH31" s="7"/>
      <c r="AI31" s="7"/>
      <c r="AJ31" s="7"/>
      <c r="AK31" s="7"/>
    </row>
    <row r="32" spans="2:37" ht="12.75">
      <c r="B32" s="108">
        <f ca="1">INDIRECT("foodbase!a32")</f>
        <v>0</v>
      </c>
      <c r="C32" s="76"/>
      <c r="D32" s="29">
        <f ca="1">C32*INDIRECT("foodbase!c32")</f>
        <v>0</v>
      </c>
      <c r="E32" s="29">
        <f ca="1">C32*INDIRECT("foodbase!d32")</f>
        <v>0</v>
      </c>
      <c r="F32" s="29">
        <f ca="1">C32*INDIRECT("foodbase!e32")</f>
        <v>0</v>
      </c>
      <c r="G32" s="29">
        <f ca="1">C32*INDIRECT("foodbase!f32")</f>
        <v>0</v>
      </c>
      <c r="H32" s="13"/>
      <c r="Q32" s="98"/>
      <c r="R32" s="3"/>
      <c r="S32" s="5"/>
      <c r="AC32" s="7"/>
      <c r="AD32" s="7"/>
      <c r="AE32" s="7"/>
      <c r="AF32" s="7"/>
      <c r="AG32" s="7"/>
      <c r="AH32" s="7"/>
      <c r="AI32" s="7"/>
      <c r="AJ32" s="7"/>
      <c r="AK32" s="7"/>
    </row>
    <row r="33" spans="2:37" ht="12.75">
      <c r="B33" s="108">
        <f ca="1">INDIRECT("foodbase!a33")</f>
        <v>0</v>
      </c>
      <c r="C33" s="76"/>
      <c r="D33" s="29">
        <f ca="1">C33*INDIRECT("foodbase!c33")</f>
        <v>0</v>
      </c>
      <c r="E33" s="29">
        <f ca="1">C33*INDIRECT("foodbase!d33")</f>
        <v>0</v>
      </c>
      <c r="F33" s="29">
        <f ca="1">C33*INDIRECT("foodbase!e33")</f>
        <v>0</v>
      </c>
      <c r="G33" s="29">
        <f ca="1">C33*INDIRECT("foodbase!f33")</f>
        <v>0</v>
      </c>
      <c r="H33" s="13"/>
      <c r="Q33" s="98"/>
      <c r="R33" s="3"/>
      <c r="S33" s="5"/>
      <c r="AC33" s="7"/>
      <c r="AD33" s="1" t="s">
        <v>28</v>
      </c>
      <c r="AE33" s="15" t="s">
        <v>47</v>
      </c>
      <c r="AF33" s="7"/>
      <c r="AG33" s="1" t="s">
        <v>29</v>
      </c>
      <c r="AH33" s="1" t="s">
        <v>30</v>
      </c>
      <c r="AI33" s="7"/>
      <c r="AJ33" s="7"/>
      <c r="AK33" s="7"/>
    </row>
    <row r="34" spans="2:37" ht="12.75">
      <c r="B34" s="108">
        <f ca="1">INDIRECT("foodbase!a34")</f>
        <v>0</v>
      </c>
      <c r="C34" s="76"/>
      <c r="D34" s="29">
        <f ca="1">C34*INDIRECT("foodbase!c34")</f>
        <v>0</v>
      </c>
      <c r="E34" s="29">
        <f ca="1">C34*INDIRECT("foodbase!d34")</f>
        <v>0</v>
      </c>
      <c r="F34" s="29">
        <f ca="1">C34*INDIRECT("foodbase!e34")</f>
        <v>0</v>
      </c>
      <c r="G34" s="29">
        <f ca="1">C34*INDIRECT("foodbase!f34")</f>
        <v>0</v>
      </c>
      <c r="H34" s="13"/>
      <c r="Q34" s="98"/>
      <c r="R34" s="3"/>
      <c r="S34" s="5"/>
      <c r="AC34" s="7"/>
      <c r="AD34" s="7"/>
      <c r="AE34" s="7"/>
      <c r="AF34" s="7"/>
      <c r="AG34" s="7"/>
      <c r="AH34" s="7"/>
      <c r="AI34" s="7"/>
      <c r="AJ34" s="7"/>
      <c r="AK34" s="7"/>
    </row>
    <row r="35" spans="2:37" ht="12.75">
      <c r="B35" s="108">
        <f ca="1">INDIRECT("foodbase!a35")</f>
        <v>0</v>
      </c>
      <c r="C35" s="76"/>
      <c r="D35" s="29">
        <f ca="1">C35*INDIRECT("foodbase!c35")</f>
        <v>0</v>
      </c>
      <c r="E35" s="29">
        <f ca="1">C35*INDIRECT("foodbase!d35")</f>
        <v>0</v>
      </c>
      <c r="F35" s="29">
        <f ca="1">C35*INDIRECT("foodbase!e35")</f>
        <v>0</v>
      </c>
      <c r="G35" s="29">
        <f ca="1">C35*INDIRECT("foodbase!f35")</f>
        <v>0</v>
      </c>
      <c r="Q35" s="98"/>
      <c r="R35" s="3"/>
      <c r="S35" s="5"/>
      <c r="AC35" s="7"/>
      <c r="AD35" s="1" t="s">
        <v>31</v>
      </c>
      <c r="AE35" s="15" t="s">
        <v>391</v>
      </c>
      <c r="AF35" s="7"/>
      <c r="AG35" s="7"/>
      <c r="AH35" s="1" t="s">
        <v>32</v>
      </c>
      <c r="AI35" s="7"/>
      <c r="AJ35" s="7"/>
      <c r="AK35" s="7"/>
    </row>
    <row r="36" spans="2:37" ht="12.75">
      <c r="B36" s="108">
        <f ca="1">INDIRECT("foodbase!a36")</f>
        <v>0</v>
      </c>
      <c r="C36" s="76"/>
      <c r="D36" s="29">
        <f ca="1">C36*INDIRECT("foodbase!c36")</f>
        <v>0</v>
      </c>
      <c r="E36" s="29">
        <f ca="1">C36*INDIRECT("foodbase!d36")</f>
        <v>0</v>
      </c>
      <c r="F36" s="29">
        <f ca="1">C36*INDIRECT("foodbase!e36")</f>
        <v>0</v>
      </c>
      <c r="G36" s="29">
        <f ca="1">C36*INDIRECT("foodbase!f36")</f>
        <v>0</v>
      </c>
      <c r="H36" s="13"/>
      <c r="Q36" s="98"/>
      <c r="R36" s="8"/>
      <c r="S36" s="5"/>
      <c r="AC36" s="7"/>
      <c r="AD36" s="7"/>
      <c r="AE36" s="7"/>
      <c r="AF36" s="7"/>
      <c r="AG36" s="7"/>
      <c r="AH36" s="7"/>
      <c r="AI36" s="7"/>
      <c r="AJ36" s="7"/>
      <c r="AK36" s="7"/>
    </row>
    <row r="37" spans="2:37" ht="12.75">
      <c r="B37" s="108">
        <f ca="1">INDIRECT("foodbase!a37")</f>
        <v>0</v>
      </c>
      <c r="C37" s="76"/>
      <c r="D37" s="29">
        <f ca="1">C37*INDIRECT("foodbase!c37")</f>
        <v>0</v>
      </c>
      <c r="E37" s="29">
        <f ca="1">C37*INDIRECT("foodbase!d37")</f>
        <v>0</v>
      </c>
      <c r="F37" s="29">
        <f ca="1">C37*INDIRECT("foodbase!e37")</f>
        <v>0</v>
      </c>
      <c r="G37" s="29">
        <f ca="1">C37*INDIRECT("foodbase!f37")</f>
        <v>0</v>
      </c>
      <c r="H37" s="13"/>
      <c r="Q37" s="98"/>
      <c r="R37" s="8"/>
      <c r="S37" s="5"/>
      <c r="AC37" s="7"/>
      <c r="AD37" s="1" t="s">
        <v>33</v>
      </c>
      <c r="AE37" s="15" t="s">
        <v>390</v>
      </c>
      <c r="AF37" s="7"/>
      <c r="AG37" s="7"/>
      <c r="AH37" s="1" t="s">
        <v>34</v>
      </c>
      <c r="AI37" s="7"/>
      <c r="AJ37" s="7"/>
      <c r="AK37" s="7"/>
    </row>
    <row r="38" spans="2:37" ht="12.75">
      <c r="B38" s="108">
        <f ca="1">INDIRECT("foodbase!a38")</f>
        <v>0</v>
      </c>
      <c r="C38" s="76"/>
      <c r="D38" s="29">
        <f ca="1">C38*INDIRECT("foodbase!c38")</f>
        <v>0</v>
      </c>
      <c r="E38" s="29">
        <f ca="1">C38*INDIRECT("foodbase!d38")</f>
        <v>0</v>
      </c>
      <c r="F38" s="29">
        <f ca="1">C38*INDIRECT("foodbase!e38")</f>
        <v>0</v>
      </c>
      <c r="G38" s="29">
        <f ca="1">C38*INDIRECT("foodbase!f38")</f>
        <v>0</v>
      </c>
      <c r="H38" s="13"/>
      <c r="Q38" s="98"/>
      <c r="R38" s="8"/>
      <c r="S38" s="5"/>
      <c r="AC38" s="7"/>
      <c r="AD38" s="7"/>
      <c r="AE38" s="7"/>
      <c r="AF38" s="7"/>
      <c r="AG38" s="7"/>
      <c r="AH38" s="7"/>
      <c r="AI38" s="7"/>
      <c r="AJ38" s="7"/>
      <c r="AK38" s="7"/>
    </row>
    <row r="39" spans="2:37" ht="12.75">
      <c r="B39" s="108">
        <f ca="1">INDIRECT("foodbase!a39")</f>
        <v>0</v>
      </c>
      <c r="C39" s="76"/>
      <c r="D39" s="29">
        <f ca="1">C39*INDIRECT("foodbase!c39")</f>
        <v>0</v>
      </c>
      <c r="E39" s="29">
        <f ca="1">C39*INDIRECT("foodbase!d39")</f>
        <v>0</v>
      </c>
      <c r="F39" s="29">
        <f ca="1">C39*INDIRECT("foodbase!e39")</f>
        <v>0</v>
      </c>
      <c r="G39" s="29">
        <f ca="1">C39*INDIRECT("foodbase!f39")</f>
        <v>0</v>
      </c>
      <c r="H39" s="13"/>
      <c r="Q39" s="98"/>
      <c r="R39" s="8"/>
      <c r="S39" s="5"/>
      <c r="AC39" s="7"/>
      <c r="AD39" s="1" t="s">
        <v>35</v>
      </c>
      <c r="AE39" s="1" t="s">
        <v>36</v>
      </c>
      <c r="AF39" s="7"/>
      <c r="AG39" s="7"/>
      <c r="AH39" s="1" t="s">
        <v>26</v>
      </c>
      <c r="AI39" s="7"/>
      <c r="AJ39" s="7"/>
      <c r="AK39" s="7"/>
    </row>
    <row r="40" spans="2:37" ht="12.75">
      <c r="B40" s="108">
        <f ca="1">INDIRECT("foodbase!a40")</f>
        <v>0</v>
      </c>
      <c r="C40" s="76"/>
      <c r="D40" s="29">
        <f ca="1">C40*INDIRECT("foodbase!c40")</f>
        <v>0</v>
      </c>
      <c r="E40" s="29">
        <f ca="1">C40*INDIRECT("foodbase!d40")</f>
        <v>0</v>
      </c>
      <c r="F40" s="29">
        <f ca="1">C40*INDIRECT("foodbase!e40")</f>
        <v>0</v>
      </c>
      <c r="G40" s="29">
        <f ca="1">C40*INDIRECT("foodbase!f40")</f>
        <v>0</v>
      </c>
      <c r="Q40" s="98"/>
      <c r="R40" s="8"/>
      <c r="S40" s="5"/>
      <c r="AC40" s="7"/>
      <c r="AD40" s="7"/>
      <c r="AE40" s="7"/>
      <c r="AF40" s="7"/>
      <c r="AG40" s="7"/>
      <c r="AH40" s="7"/>
      <c r="AI40" s="7"/>
      <c r="AJ40" s="7"/>
      <c r="AK40" s="7"/>
    </row>
    <row r="41" spans="2:37" ht="12.75">
      <c r="B41" s="108">
        <f ca="1">INDIRECT("foodbase!a41")</f>
        <v>0</v>
      </c>
      <c r="C41" s="76"/>
      <c r="D41" s="29">
        <f ca="1">C41*INDIRECT("foodbase!c41")</f>
        <v>0</v>
      </c>
      <c r="E41" s="29">
        <f ca="1">C41*INDIRECT("foodbase!d41")</f>
        <v>0</v>
      </c>
      <c r="F41" s="29">
        <f ca="1">C41*INDIRECT("foodbase!e41")</f>
        <v>0</v>
      </c>
      <c r="G41" s="29">
        <f ca="1">C41*INDIRECT("foodbase!f41")</f>
        <v>0</v>
      </c>
      <c r="H41" s="13"/>
      <c r="S41" s="5"/>
      <c r="AC41" s="7"/>
      <c r="AD41" s="15"/>
      <c r="AE41" s="1"/>
      <c r="AF41" s="7"/>
      <c r="AG41" s="7"/>
      <c r="AH41" s="1"/>
      <c r="AI41" s="7"/>
      <c r="AJ41" s="7"/>
      <c r="AK41" s="7"/>
    </row>
    <row r="42" spans="2:37" ht="12.75">
      <c r="B42" s="108">
        <f ca="1">INDIRECT("foodbase!a42")</f>
        <v>0</v>
      </c>
      <c r="C42" s="76"/>
      <c r="D42" s="29">
        <f ca="1">C42*INDIRECT("foodbase!c42")</f>
        <v>0</v>
      </c>
      <c r="E42" s="29">
        <f ca="1">C42*INDIRECT("foodbase!d42")</f>
        <v>0</v>
      </c>
      <c r="F42" s="29">
        <f ca="1">C42*INDIRECT("foodbase!e42")</f>
        <v>0</v>
      </c>
      <c r="G42" s="29">
        <f ca="1">C42*INDIRECT("foodbase!f42")</f>
        <v>0</v>
      </c>
      <c r="H42" s="13"/>
      <c r="R42" s="6"/>
      <c r="S42" s="5"/>
      <c r="AC42" s="7"/>
      <c r="AD42" s="7"/>
      <c r="AE42" s="7"/>
      <c r="AF42" s="7"/>
      <c r="AG42" s="7"/>
      <c r="AH42" s="7"/>
      <c r="AI42" s="7"/>
      <c r="AJ42" s="7"/>
      <c r="AK42" s="7"/>
    </row>
    <row r="43" spans="2:37" ht="12.75">
      <c r="B43" s="108">
        <f ca="1">INDIRECT("foodbase!a43")</f>
        <v>0</v>
      </c>
      <c r="C43" s="76"/>
      <c r="D43" s="29">
        <f ca="1">C43*INDIRECT("foodbase!c43")</f>
        <v>0</v>
      </c>
      <c r="E43" s="29">
        <f ca="1">C43*INDIRECT("foodbase!d43")</f>
        <v>0</v>
      </c>
      <c r="F43" s="29">
        <f ca="1">C43*INDIRECT("foodbase!e43")</f>
        <v>0</v>
      </c>
      <c r="G43" s="29">
        <f ca="1">C43*INDIRECT("foodbase!f43")</f>
        <v>0</v>
      </c>
      <c r="H43" s="13"/>
      <c r="R43" s="5" t="s">
        <v>14</v>
      </c>
      <c r="S43" s="5"/>
      <c r="AC43" s="7"/>
      <c r="AD43" s="1" t="s">
        <v>37</v>
      </c>
      <c r="AE43" s="15" t="s">
        <v>145</v>
      </c>
      <c r="AF43" s="7"/>
      <c r="AG43" s="7"/>
      <c r="AH43" s="1" t="s">
        <v>38</v>
      </c>
      <c r="AI43" s="7"/>
      <c r="AJ43" s="7"/>
      <c r="AK43" s="7"/>
    </row>
    <row r="44" spans="2:37" ht="12.75">
      <c r="B44" s="108">
        <f ca="1">INDIRECT("foodbase!a44")</f>
        <v>0</v>
      </c>
      <c r="C44" s="76"/>
      <c r="D44" s="29">
        <f ca="1">C44*INDIRECT("foodbase!c44")</f>
        <v>0</v>
      </c>
      <c r="E44" s="29">
        <f ca="1">C44*INDIRECT("foodbase!d44")</f>
        <v>0</v>
      </c>
      <c r="F44" s="29">
        <f ca="1">C44*INDIRECT("foodbase!e44")</f>
        <v>0</v>
      </c>
      <c r="G44" s="29">
        <f ca="1">C44*INDIRECT("foodbase!f44")</f>
        <v>0</v>
      </c>
      <c r="I44" s="35"/>
      <c r="S44" s="5"/>
      <c r="AC44" s="7"/>
      <c r="AD44" s="7"/>
      <c r="AE44" s="7"/>
      <c r="AF44" s="7"/>
      <c r="AG44" s="7"/>
      <c r="AH44" s="7"/>
      <c r="AI44" s="7"/>
      <c r="AJ44" s="7"/>
      <c r="AK44" s="7"/>
    </row>
    <row r="45" spans="2:37" ht="12.75">
      <c r="B45" s="108">
        <f ca="1">INDIRECT("foodbase!a45")</f>
        <v>0</v>
      </c>
      <c r="C45" s="76"/>
      <c r="D45" s="29">
        <f ca="1">C45*INDIRECT("foodbase!c45")</f>
        <v>0</v>
      </c>
      <c r="E45" s="29">
        <f ca="1">C45*INDIRECT("foodbase!d45")</f>
        <v>0</v>
      </c>
      <c r="F45" s="29">
        <f ca="1">C45*INDIRECT("foodbase!e45")</f>
        <v>0</v>
      </c>
      <c r="G45" s="29">
        <f ca="1">C45*INDIRECT("foodbase!f45")</f>
        <v>0</v>
      </c>
      <c r="S45" s="5"/>
      <c r="AC45" s="7"/>
      <c r="AD45" s="1" t="s">
        <v>39</v>
      </c>
      <c r="AE45" s="1" t="s">
        <v>40</v>
      </c>
      <c r="AF45" s="7"/>
      <c r="AG45" s="7"/>
      <c r="AH45" s="1" t="s">
        <v>41</v>
      </c>
      <c r="AI45" s="7"/>
      <c r="AJ45" s="7"/>
      <c r="AK45" s="7"/>
    </row>
    <row r="46" spans="2:37" ht="12.75">
      <c r="B46" s="108">
        <f ca="1">INDIRECT("foodbase!a46")</f>
        <v>0</v>
      </c>
      <c r="C46" s="76"/>
      <c r="D46" s="29">
        <f ca="1">C46*INDIRECT("foodbase!c46")</f>
        <v>0</v>
      </c>
      <c r="E46" s="29">
        <f ca="1">C46*INDIRECT("foodbase!d46")</f>
        <v>0</v>
      </c>
      <c r="F46" s="29">
        <f ca="1">C46*INDIRECT("foodbase!e46")</f>
        <v>0</v>
      </c>
      <c r="G46" s="29">
        <f ca="1">C46*INDIRECT("foodbase!f46")</f>
        <v>0</v>
      </c>
      <c r="S46" s="5"/>
      <c r="AC46" s="7"/>
      <c r="AD46" s="7"/>
      <c r="AE46" s="1"/>
      <c r="AF46" s="1"/>
      <c r="AG46" s="1"/>
      <c r="AH46" s="1"/>
      <c r="AI46" s="1"/>
      <c r="AJ46" s="7"/>
      <c r="AK46" s="7"/>
    </row>
    <row r="47" spans="2:37" ht="12.75">
      <c r="B47" s="108">
        <f ca="1">INDIRECT("foodbase!a47")</f>
        <v>0</v>
      </c>
      <c r="C47" s="76"/>
      <c r="D47" s="29">
        <f ca="1">C47*INDIRECT("foodbase!c47")</f>
        <v>0</v>
      </c>
      <c r="E47" s="29">
        <f ca="1">C47*INDIRECT("foodbase!d47")</f>
        <v>0</v>
      </c>
      <c r="F47" s="29">
        <f ca="1">C47*INDIRECT("foodbase!e47")</f>
        <v>0</v>
      </c>
      <c r="G47" s="29">
        <f ca="1">C47*INDIRECT("foodbase!f47")</f>
        <v>0</v>
      </c>
      <c r="H47" s="13"/>
      <c r="S47" s="5"/>
      <c r="AC47" s="7"/>
      <c r="AD47" s="15" t="s">
        <v>58</v>
      </c>
      <c r="AE47" s="15" t="s">
        <v>164</v>
      </c>
      <c r="AF47" s="1"/>
      <c r="AG47" s="1"/>
      <c r="AH47" s="1" t="s">
        <v>105</v>
      </c>
      <c r="AI47" s="1"/>
      <c r="AJ47" s="1"/>
      <c r="AK47" s="7"/>
    </row>
    <row r="48" spans="2:37" ht="12.75">
      <c r="B48" s="108">
        <f ca="1">INDIRECT("foodbase!a48")</f>
        <v>0</v>
      </c>
      <c r="C48" s="76"/>
      <c r="D48" s="29">
        <f ca="1">C48*INDIRECT("foodbase!c48")</f>
        <v>0</v>
      </c>
      <c r="E48" s="29">
        <f ca="1">C48*INDIRECT("foodbase!d48")</f>
        <v>0</v>
      </c>
      <c r="F48" s="29">
        <f ca="1">C48*INDIRECT("foodbase!e48")</f>
        <v>0</v>
      </c>
      <c r="G48" s="29">
        <f ca="1">C48*INDIRECT("foodbase!f48")</f>
        <v>0</v>
      </c>
      <c r="H48" s="13"/>
      <c r="AC48" s="7"/>
      <c r="AD48" s="15"/>
      <c r="AE48" s="15"/>
      <c r="AF48" s="15"/>
      <c r="AG48" s="15"/>
      <c r="AH48" s="15"/>
      <c r="AI48" s="15"/>
      <c r="AJ48" s="1" t="s">
        <v>29</v>
      </c>
      <c r="AK48" s="1"/>
    </row>
    <row r="49" spans="2:37" ht="12.75">
      <c r="B49" s="108">
        <f ca="1">INDIRECT("foodbase!a49")</f>
        <v>0</v>
      </c>
      <c r="C49" s="76"/>
      <c r="D49" s="29">
        <f ca="1">C49*INDIRECT("foodbase!c49")</f>
        <v>0</v>
      </c>
      <c r="E49" s="29">
        <f ca="1">C49*INDIRECT("foodbase!d49")</f>
        <v>0</v>
      </c>
      <c r="F49" s="29">
        <f ca="1">C49*INDIRECT("foodbase!e49")</f>
        <v>0</v>
      </c>
      <c r="G49" s="29">
        <f ca="1">C49*INDIRECT("foodbase!f49")</f>
        <v>0</v>
      </c>
      <c r="H49" s="13" t="s">
        <v>29</v>
      </c>
      <c r="AC49" s="7"/>
      <c r="AD49" s="15"/>
      <c r="AE49" s="15"/>
      <c r="AF49" s="1"/>
      <c r="AG49" s="1"/>
      <c r="AH49" s="1"/>
      <c r="AI49" s="7"/>
      <c r="AJ49" s="7"/>
      <c r="AK49" s="1"/>
    </row>
    <row r="50" spans="2:37" ht="12.75">
      <c r="B50" s="108">
        <f ca="1">INDIRECT("foodbase!a50")</f>
        <v>0</v>
      </c>
      <c r="C50" s="76"/>
      <c r="D50" s="29">
        <f ca="1">C50*INDIRECT("foodbase!c50")</f>
        <v>0</v>
      </c>
      <c r="E50" s="29">
        <f ca="1">C50*INDIRECT("foodbase!d50")</f>
        <v>0</v>
      </c>
      <c r="F50" s="29">
        <f ca="1">C50*INDIRECT("foodbase!e50")</f>
        <v>0</v>
      </c>
      <c r="G50" s="29">
        <f ca="1">C50*INDIRECT("foodbase!f50")</f>
        <v>0</v>
      </c>
      <c r="AC50" s="7"/>
      <c r="AD50" s="7"/>
      <c r="AE50" s="15"/>
      <c r="AF50" s="7"/>
      <c r="AG50" s="7"/>
      <c r="AH50" s="7"/>
      <c r="AI50" s="7"/>
      <c r="AJ50" s="7"/>
      <c r="AK50" s="1"/>
    </row>
    <row r="51" spans="2:37" ht="12.75">
      <c r="B51" s="108">
        <f ca="1">INDIRECT("foodbase!a51")</f>
        <v>0</v>
      </c>
      <c r="C51" s="76"/>
      <c r="D51" s="29">
        <f ca="1">C51*INDIRECT("foodbase!c51")</f>
        <v>0</v>
      </c>
      <c r="E51" s="29">
        <f ca="1">C51*INDIRECT("foodbase!d51")</f>
        <v>0</v>
      </c>
      <c r="F51" s="29">
        <f ca="1">C51*INDIRECT("foodbase!e51")</f>
        <v>0</v>
      </c>
      <c r="G51" s="29">
        <f ca="1">C51*INDIRECT("foodbase!f51")</f>
        <v>0</v>
      </c>
      <c r="AC51" s="4"/>
      <c r="AD51" s="7"/>
      <c r="AE51" s="15"/>
      <c r="AF51" s="7"/>
      <c r="AG51" s="7"/>
      <c r="AH51" s="7"/>
      <c r="AI51" s="7"/>
      <c r="AJ51" s="7"/>
      <c r="AK51" s="7"/>
    </row>
    <row r="52" spans="2:37" ht="12.75">
      <c r="B52" s="108">
        <f ca="1">INDIRECT("foodbase!a52")</f>
        <v>0</v>
      </c>
      <c r="C52" s="76"/>
      <c r="D52" s="29">
        <f ca="1">C52*INDIRECT("foodbase!c52")</f>
        <v>0</v>
      </c>
      <c r="E52" s="29">
        <f ca="1">C52*INDIRECT("foodbase!d52")</f>
        <v>0</v>
      </c>
      <c r="F52" s="29">
        <f ca="1">C52*INDIRECT("foodbase!e52")</f>
        <v>0</v>
      </c>
      <c r="G52" s="29">
        <f ca="1">C52*INDIRECT("foodbase!f52")</f>
        <v>0</v>
      </c>
      <c r="AC52" s="7"/>
      <c r="AD52" s="7"/>
      <c r="AE52" s="7"/>
      <c r="AF52" s="7"/>
      <c r="AG52" s="7"/>
      <c r="AH52" s="7"/>
      <c r="AI52" s="7"/>
      <c r="AJ52" s="7"/>
      <c r="AK52" s="7"/>
    </row>
    <row r="53" spans="2:37" ht="12.75">
      <c r="B53" s="108">
        <f ca="1">INDIRECT("foodbase!a53")</f>
        <v>0</v>
      </c>
      <c r="C53" s="76"/>
      <c r="D53" s="29">
        <f ca="1">C53*INDIRECT("foodbase!c53")</f>
        <v>0</v>
      </c>
      <c r="E53" s="29">
        <f ca="1">C53*INDIRECT("foodbase!d53")</f>
        <v>0</v>
      </c>
      <c r="F53" s="29">
        <f ca="1">C53*INDIRECT("foodbase!e53")</f>
        <v>0</v>
      </c>
      <c r="G53" s="29">
        <f ca="1">C53*INDIRECT("foodbase!f53")</f>
        <v>0</v>
      </c>
      <c r="AC53" s="9"/>
      <c r="AD53" s="1"/>
      <c r="AE53" s="1"/>
      <c r="AF53" s="7"/>
      <c r="AG53" s="1"/>
      <c r="AH53" s="7"/>
      <c r="AI53" s="7"/>
      <c r="AJ53" s="7"/>
      <c r="AK53" s="7"/>
    </row>
    <row r="54" spans="2:37" ht="12.75">
      <c r="B54" s="108">
        <f ca="1">INDIRECT("foodbase!a54")</f>
        <v>0</v>
      </c>
      <c r="C54" s="76"/>
      <c r="D54" s="29">
        <f ca="1">C54*INDIRECT("foodbase!c54")</f>
        <v>0</v>
      </c>
      <c r="E54" s="29">
        <f ca="1">C54*INDIRECT("foodbase!d54")</f>
        <v>0</v>
      </c>
      <c r="F54" s="29">
        <f ca="1">C54*INDIRECT("foodbase!e54")</f>
        <v>0</v>
      </c>
      <c r="G54" s="29">
        <f ca="1">C54*INDIRECT("foodbase!f54")</f>
        <v>0</v>
      </c>
      <c r="AC54" s="7"/>
      <c r="AD54" s="7"/>
      <c r="AE54" s="7"/>
      <c r="AF54" s="7"/>
      <c r="AG54" s="7"/>
      <c r="AH54" s="7"/>
      <c r="AI54" s="7"/>
      <c r="AJ54" s="7"/>
      <c r="AK54" s="7"/>
    </row>
    <row r="55" spans="2:37" ht="12.75">
      <c r="B55" s="108">
        <f ca="1">INDIRECT("foodbase!a55")</f>
        <v>0</v>
      </c>
      <c r="C55" s="76"/>
      <c r="D55" s="29">
        <f ca="1">C55*INDIRECT("foodbase!c55")</f>
        <v>0</v>
      </c>
      <c r="E55" s="29">
        <f ca="1">C55*INDIRECT("foodbase!d55")</f>
        <v>0</v>
      </c>
      <c r="F55" s="29">
        <f ca="1">C55*INDIRECT("foodbase!e55")</f>
        <v>0</v>
      </c>
      <c r="G55" s="29">
        <f ca="1">C55*INDIRECT("foodbase!f55")</f>
        <v>0</v>
      </c>
      <c r="AC55" s="4" t="s">
        <v>42</v>
      </c>
      <c r="AD55" s="7"/>
      <c r="AE55" s="1" t="s">
        <v>43</v>
      </c>
      <c r="AF55" s="7"/>
      <c r="AG55" s="7"/>
      <c r="AH55" s="7"/>
      <c r="AI55" s="7"/>
      <c r="AJ55" s="7"/>
      <c r="AK55" s="7"/>
    </row>
    <row r="56" spans="2:37" ht="12.75">
      <c r="B56" s="108">
        <f ca="1">INDIRECT("foodbase!a56")</f>
        <v>0</v>
      </c>
      <c r="C56" s="76"/>
      <c r="D56" s="29">
        <f ca="1">C56*INDIRECT("foodbase!c56")</f>
        <v>0</v>
      </c>
      <c r="E56" s="29">
        <f ca="1">C56*INDIRECT("foodbase!d56")</f>
        <v>0</v>
      </c>
      <c r="F56" s="29">
        <f ca="1">C56*INDIRECT("foodbase!e56")</f>
        <v>0</v>
      </c>
      <c r="G56" s="29">
        <f ca="1">C56*INDIRECT("foodbase!f56")</f>
        <v>0</v>
      </c>
      <c r="AC56" s="7"/>
      <c r="AD56" s="7"/>
      <c r="AE56" s="7"/>
      <c r="AF56" s="7"/>
      <c r="AG56" s="7"/>
      <c r="AH56" s="7"/>
      <c r="AI56" s="7"/>
      <c r="AJ56" s="7"/>
      <c r="AK56" s="7"/>
    </row>
    <row r="57" spans="2:37" ht="12.75">
      <c r="B57" s="108">
        <f ca="1">INDIRECT("foodbase!a57")</f>
        <v>0</v>
      </c>
      <c r="C57" s="76"/>
      <c r="D57" s="29">
        <f ca="1">C57*INDIRECT("foodbase!c57")</f>
        <v>0</v>
      </c>
      <c r="E57" s="29">
        <f ca="1">C57*INDIRECT("foodbase!d57")</f>
        <v>0</v>
      </c>
      <c r="F57" s="29">
        <f ca="1">C57*INDIRECT("foodbase!e57")</f>
        <v>0</v>
      </c>
      <c r="G57" s="29">
        <f ca="1">C57*INDIRECT("foodbase!f57")</f>
        <v>0</v>
      </c>
      <c r="AC57" s="9"/>
      <c r="AD57" s="1" t="s">
        <v>44</v>
      </c>
      <c r="AE57" s="1" t="s">
        <v>45</v>
      </c>
      <c r="AF57" s="7"/>
      <c r="AG57" s="1" t="s">
        <v>46</v>
      </c>
      <c r="AH57" s="7"/>
      <c r="AI57" s="7"/>
      <c r="AJ57" s="7"/>
      <c r="AK57" s="7"/>
    </row>
    <row r="58" spans="2:37" ht="12.75">
      <c r="B58" s="108">
        <f ca="1">INDIRECT("foodbase!a58")</f>
        <v>0</v>
      </c>
      <c r="C58" s="76"/>
      <c r="D58" s="29">
        <f ca="1">C58*INDIRECT("foodbase!c58")</f>
        <v>0</v>
      </c>
      <c r="E58" s="29">
        <f ca="1">C58*INDIRECT("foodbase!d58")</f>
        <v>0</v>
      </c>
      <c r="F58" s="29">
        <f ca="1">C58*INDIRECT("foodbase!e58")</f>
        <v>0</v>
      </c>
      <c r="G58" s="29">
        <f ca="1">C58*INDIRECT("foodbase!f58")</f>
        <v>0</v>
      </c>
      <c r="AC58" s="7"/>
      <c r="AD58" s="1"/>
      <c r="AE58" s="1"/>
      <c r="AF58" s="7"/>
      <c r="AG58" s="7"/>
      <c r="AH58" s="7"/>
      <c r="AI58" s="7"/>
      <c r="AJ58" s="7"/>
      <c r="AK58" s="7"/>
    </row>
    <row r="59" spans="2:37" ht="12.75">
      <c r="B59" s="108">
        <f ca="1">INDIRECT("foodbase!a59")</f>
        <v>0</v>
      </c>
      <c r="C59" s="76"/>
      <c r="D59" s="29">
        <f ca="1">C59*INDIRECT("foodbase!c59")</f>
        <v>0</v>
      </c>
      <c r="E59" s="29">
        <f ca="1">C59*INDIRECT("foodbase!d59")</f>
        <v>0</v>
      </c>
      <c r="F59" s="29">
        <f ca="1">C59*INDIRECT("foodbase!e59")</f>
        <v>0</v>
      </c>
      <c r="G59" s="29">
        <f ca="1">C59*INDIRECT("foodbase!f59")</f>
        <v>0</v>
      </c>
      <c r="AC59" s="7"/>
      <c r="AD59" s="7"/>
      <c r="AE59" s="7"/>
      <c r="AF59" s="7"/>
      <c r="AG59" s="7"/>
      <c r="AH59" s="7"/>
      <c r="AI59" s="7"/>
      <c r="AJ59" s="7"/>
      <c r="AK59" s="7"/>
    </row>
    <row r="60" spans="2:37" ht="12.75">
      <c r="B60" s="108">
        <f ca="1">INDIRECT("foodbase!a60")</f>
        <v>0</v>
      </c>
      <c r="C60" s="76"/>
      <c r="D60" s="29">
        <f ca="1">C60*INDIRECT("foodbase!c60")</f>
        <v>0</v>
      </c>
      <c r="E60" s="29">
        <f ca="1">C60*INDIRECT("foodbase!d60")</f>
        <v>0</v>
      </c>
      <c r="F60" s="29">
        <f ca="1">C60*INDIRECT("foodbase!e60")</f>
        <v>0</v>
      </c>
      <c r="G60" s="29">
        <f ca="1">C60*INDIRECT("foodbase!f60")</f>
        <v>0</v>
      </c>
      <c r="AC60" s="7"/>
      <c r="AD60" s="1"/>
      <c r="AE60" s="1"/>
      <c r="AF60" s="7"/>
      <c r="AG60" s="7"/>
      <c r="AH60" s="7"/>
      <c r="AI60" s="7"/>
      <c r="AJ60" s="7"/>
      <c r="AK60" s="7"/>
    </row>
    <row r="61" spans="2:7" ht="12.75">
      <c r="B61" s="108">
        <f ca="1">INDIRECT("foodbase!a61")</f>
        <v>0</v>
      </c>
      <c r="C61" s="76"/>
      <c r="D61" s="29">
        <f ca="1">C61*INDIRECT("foodbase!c61")</f>
        <v>0</v>
      </c>
      <c r="E61" s="29">
        <f ca="1">C61*INDIRECT("foodbase!d61")</f>
        <v>0</v>
      </c>
      <c r="F61" s="29">
        <f ca="1">C61*INDIRECT("foodbase!e61")</f>
        <v>0</v>
      </c>
      <c r="G61" s="29">
        <f ca="1">C61*INDIRECT("foodbase!f61")</f>
        <v>0</v>
      </c>
    </row>
    <row r="62" spans="2:7" ht="12.75">
      <c r="B62" s="108">
        <f ca="1">INDIRECT("foodbase!a62")</f>
        <v>0</v>
      </c>
      <c r="C62" s="76"/>
      <c r="D62" s="29">
        <f ca="1">C62*INDIRECT("foodbase!c62")</f>
        <v>0</v>
      </c>
      <c r="E62" s="29">
        <f ca="1">C62*INDIRECT("foodbase!d62")</f>
        <v>0</v>
      </c>
      <c r="F62" s="29">
        <f ca="1">C62*INDIRECT("foodbase!e62")</f>
        <v>0</v>
      </c>
      <c r="G62" s="29">
        <f ca="1">C62*INDIRECT("foodbase!f62")</f>
        <v>0</v>
      </c>
    </row>
    <row r="63" spans="2:8" ht="12.75">
      <c r="B63" s="108">
        <f ca="1">INDIRECT("foodbase!a63")</f>
        <v>0</v>
      </c>
      <c r="C63" s="76"/>
      <c r="D63" s="29">
        <f ca="1">C63*INDIRECT("foodbase!c63")</f>
        <v>0</v>
      </c>
      <c r="E63" s="29">
        <f ca="1">C63*INDIRECT("foodbase!d63")</f>
        <v>0</v>
      </c>
      <c r="F63" s="29">
        <f ca="1">C63*INDIRECT("foodbase!e63")</f>
        <v>0</v>
      </c>
      <c r="G63" s="29">
        <f ca="1">C63*INDIRECT("foodbase!f63")</f>
        <v>0</v>
      </c>
      <c r="H63" s="13"/>
    </row>
    <row r="64" spans="2:8" ht="12.75">
      <c r="B64" s="108">
        <f ca="1">INDIRECT("foodbase!a64")</f>
        <v>0</v>
      </c>
      <c r="C64" s="76"/>
      <c r="D64" s="29">
        <f ca="1">C64*INDIRECT("foodbase!c64")</f>
        <v>0</v>
      </c>
      <c r="E64" s="29">
        <f ca="1">C64*INDIRECT("foodbase!d64")</f>
        <v>0</v>
      </c>
      <c r="F64" s="29">
        <f ca="1">C64*INDIRECT("foodbase!e64")</f>
        <v>0</v>
      </c>
      <c r="G64" s="29">
        <f ca="1">C64*INDIRECT("foodbase!f64")</f>
        <v>0</v>
      </c>
      <c r="H64" s="13"/>
    </row>
    <row r="65" spans="2:8" ht="12.75">
      <c r="B65" s="108">
        <f ca="1">INDIRECT("foodbase!a65")</f>
        <v>0</v>
      </c>
      <c r="C65" s="76"/>
      <c r="D65" s="29">
        <f ca="1">C65*INDIRECT("foodbase!c65")</f>
        <v>0</v>
      </c>
      <c r="E65" s="29">
        <f ca="1">C65*INDIRECT("foodbase!d65")</f>
        <v>0</v>
      </c>
      <c r="F65" s="29">
        <f ca="1">C65*INDIRECT("foodbase!e65")</f>
        <v>0</v>
      </c>
      <c r="G65" s="29">
        <f ca="1">C65*INDIRECT("foodbase!f65")</f>
        <v>0</v>
      </c>
      <c r="H65" s="13"/>
    </row>
    <row r="66" spans="2:8" ht="12.75">
      <c r="B66" s="108">
        <f ca="1">INDIRECT("foodbase!a66")</f>
        <v>0</v>
      </c>
      <c r="C66" s="76"/>
      <c r="D66" s="29">
        <f ca="1">C66*INDIRECT("foodbase!c66")</f>
        <v>0</v>
      </c>
      <c r="E66" s="29">
        <f ca="1">C66*INDIRECT("foodbase!d66")</f>
        <v>0</v>
      </c>
      <c r="F66" s="29">
        <f ca="1">C66*INDIRECT("foodbase!e66")</f>
        <v>0</v>
      </c>
      <c r="G66" s="29">
        <f ca="1">C66*INDIRECT("foodbase!f66")</f>
        <v>0</v>
      </c>
      <c r="H66" s="13"/>
    </row>
    <row r="67" spans="2:8" ht="12.75">
      <c r="B67" s="108">
        <f ca="1">INDIRECT("foodbase!a67")</f>
        <v>0</v>
      </c>
      <c r="C67" s="76"/>
      <c r="D67" s="29">
        <f ca="1">C67*INDIRECT("foodbase!c67")</f>
        <v>0</v>
      </c>
      <c r="E67" s="29">
        <f ca="1">C67*INDIRECT("foodbase!d67")</f>
        <v>0</v>
      </c>
      <c r="F67" s="29">
        <f ca="1">C67*INDIRECT("foodbase!e67")</f>
        <v>0</v>
      </c>
      <c r="G67" s="29">
        <f ca="1">C67*INDIRECT("foodbase!f67")</f>
        <v>0</v>
      </c>
      <c r="H67" s="13"/>
    </row>
    <row r="68" spans="2:8" ht="12.75">
      <c r="B68" s="108">
        <f ca="1">INDIRECT("foodbase!a68")</f>
        <v>0</v>
      </c>
      <c r="C68" s="76"/>
      <c r="D68" s="29">
        <f ca="1">C68*INDIRECT("foodbase!c68")</f>
        <v>0</v>
      </c>
      <c r="E68" s="29">
        <f ca="1">C68*INDIRECT("foodbase!d68")</f>
        <v>0</v>
      </c>
      <c r="F68" s="29">
        <f ca="1">C68*INDIRECT("foodbase!e68")</f>
        <v>0</v>
      </c>
      <c r="G68" s="29">
        <f ca="1">C68*INDIRECT("foodbase!f68")</f>
        <v>0</v>
      </c>
      <c r="H68" s="13"/>
    </row>
    <row r="69" spans="2:8" ht="12.75">
      <c r="B69" s="108">
        <f ca="1">INDIRECT("foodbase!a69")</f>
        <v>0</v>
      </c>
      <c r="C69" s="76"/>
      <c r="D69" s="29">
        <f ca="1">C69*INDIRECT("foodbase!c69")</f>
        <v>0</v>
      </c>
      <c r="E69" s="29">
        <f ca="1">C69*INDIRECT("foodbase!d69")</f>
        <v>0</v>
      </c>
      <c r="F69" s="29">
        <f ca="1">C69*INDIRECT("foodbase!e69")</f>
        <v>0</v>
      </c>
      <c r="G69" s="29">
        <f ca="1">C69*INDIRECT("foodbase!f69")</f>
        <v>0</v>
      </c>
      <c r="H69" s="13"/>
    </row>
    <row r="70" spans="2:8" ht="12.75">
      <c r="B70" s="108">
        <f ca="1">INDIRECT("foodbase!a70")</f>
        <v>0</v>
      </c>
      <c r="C70" s="76"/>
      <c r="D70" s="29">
        <f ca="1">C70*INDIRECT("foodbase!c70")</f>
        <v>0</v>
      </c>
      <c r="E70" s="29">
        <f ca="1">C70*INDIRECT("foodbase!d70")</f>
        <v>0</v>
      </c>
      <c r="F70" s="29">
        <f ca="1">C70*INDIRECT("foodbase!e70")</f>
        <v>0</v>
      </c>
      <c r="G70" s="29">
        <f ca="1">C70*INDIRECT("foodbase!f70")</f>
        <v>0</v>
      </c>
      <c r="H70" s="13"/>
    </row>
    <row r="71" spans="2:8" ht="12.75">
      <c r="B71" s="108">
        <f ca="1">INDIRECT("foodbase!a71")</f>
        <v>0</v>
      </c>
      <c r="C71" s="76"/>
      <c r="D71" s="29">
        <f ca="1">C71*INDIRECT("foodbase!c71")</f>
        <v>0</v>
      </c>
      <c r="E71" s="29">
        <f ca="1">C71*INDIRECT("foodbase!d71")</f>
        <v>0</v>
      </c>
      <c r="F71" s="29">
        <f ca="1">C71*INDIRECT("foodbase!e71")</f>
        <v>0</v>
      </c>
      <c r="G71" s="29">
        <f ca="1">C71*INDIRECT("foodbase!f71")</f>
        <v>0</v>
      </c>
      <c r="H71" s="13"/>
    </row>
    <row r="72" spans="2:8" ht="12.75">
      <c r="B72" s="108">
        <f ca="1">INDIRECT("foodbase!a72")</f>
        <v>0</v>
      </c>
      <c r="C72" s="76"/>
      <c r="D72" s="29">
        <f ca="1">C72*INDIRECT("foodbase!c72")</f>
        <v>0</v>
      </c>
      <c r="E72" s="29">
        <f ca="1">C72*INDIRECT("foodbase!d72")</f>
        <v>0</v>
      </c>
      <c r="F72" s="29">
        <f ca="1">C72*INDIRECT("foodbase!e72")</f>
        <v>0</v>
      </c>
      <c r="G72" s="29">
        <f ca="1">C72*INDIRECT("foodbase!f72")</f>
        <v>0</v>
      </c>
      <c r="H72" s="13"/>
    </row>
    <row r="73" spans="2:8" ht="12.75">
      <c r="B73" s="108">
        <f ca="1">INDIRECT("foodbase!a73")</f>
        <v>0</v>
      </c>
      <c r="C73" s="76"/>
      <c r="D73" s="29">
        <f ca="1">C73*INDIRECT("foodbase!c73")</f>
        <v>0</v>
      </c>
      <c r="E73" s="29">
        <f ca="1">C73*INDIRECT("foodbase!d73")</f>
        <v>0</v>
      </c>
      <c r="F73" s="29">
        <f ca="1">C73*INDIRECT("foodbase!e73")</f>
        <v>0</v>
      </c>
      <c r="G73" s="29">
        <f ca="1">C73*INDIRECT("foodbase!f73")</f>
        <v>0</v>
      </c>
      <c r="H73" s="13"/>
    </row>
    <row r="74" spans="2:8" ht="12.75">
      <c r="B74" s="108">
        <f ca="1">INDIRECT("foodbase!a74")</f>
        <v>0</v>
      </c>
      <c r="C74" s="76"/>
      <c r="D74" s="29">
        <f ca="1">C74*INDIRECT("foodbase!c74")</f>
        <v>0</v>
      </c>
      <c r="E74" s="29">
        <f ca="1">C74*INDIRECT("foodbase!d74")</f>
        <v>0</v>
      </c>
      <c r="F74" s="29">
        <f ca="1">C74*INDIRECT("foodbase!e74")</f>
        <v>0</v>
      </c>
      <c r="G74" s="29">
        <f ca="1">C74*INDIRECT("foodbase!f74")</f>
        <v>0</v>
      </c>
      <c r="H74" s="13"/>
    </row>
    <row r="75" spans="2:8" ht="12.75">
      <c r="B75" s="108">
        <f ca="1">INDIRECT("foodbase!a75")</f>
        <v>0</v>
      </c>
      <c r="C75" s="76"/>
      <c r="D75" s="29">
        <f ca="1">C75*INDIRECT("foodbase!c75")</f>
        <v>0</v>
      </c>
      <c r="E75" s="29">
        <f ca="1">C75*INDIRECT("foodbase!d75")</f>
        <v>0</v>
      </c>
      <c r="F75" s="29">
        <f ca="1">C75*INDIRECT("foodbase!e75")</f>
        <v>0</v>
      </c>
      <c r="G75" s="29">
        <f ca="1">C75*INDIRECT("foodbase!f75")</f>
        <v>0</v>
      </c>
      <c r="H75" s="13"/>
    </row>
    <row r="76" spans="2:8" ht="12.75">
      <c r="B76" s="108">
        <f ca="1">INDIRECT("foodbase!a76")</f>
        <v>0</v>
      </c>
      <c r="C76" s="76"/>
      <c r="D76" s="29">
        <f ca="1">C76*INDIRECT("foodbase!c76")</f>
        <v>0</v>
      </c>
      <c r="E76" s="29">
        <f ca="1">C76*INDIRECT("foodbase!d76")</f>
        <v>0</v>
      </c>
      <c r="F76" s="29">
        <f ca="1">C76*INDIRECT("foodbase!e76")</f>
        <v>0</v>
      </c>
      <c r="G76" s="29">
        <f ca="1">C76*INDIRECT("foodbase!f76")</f>
        <v>0</v>
      </c>
      <c r="H76" s="13"/>
    </row>
    <row r="77" spans="2:8" ht="12.75">
      <c r="B77" s="108">
        <f ca="1">INDIRECT("foodbase!a77")</f>
        <v>0</v>
      </c>
      <c r="C77" s="76"/>
      <c r="D77" s="29">
        <f ca="1">C77*INDIRECT("foodbase!c77")</f>
        <v>0</v>
      </c>
      <c r="E77" s="29">
        <f ca="1">C77*INDIRECT("foodbase!d77")</f>
        <v>0</v>
      </c>
      <c r="F77" s="29">
        <f ca="1">C77*INDIRECT("foodbase!e77")</f>
        <v>0</v>
      </c>
      <c r="G77" s="29">
        <f ca="1">C77*INDIRECT("foodbase!f77")</f>
        <v>0</v>
      </c>
      <c r="H77" s="13"/>
    </row>
    <row r="78" spans="2:8" ht="12.75">
      <c r="B78" s="108">
        <f ca="1">INDIRECT("foodbase!a78")</f>
        <v>0</v>
      </c>
      <c r="C78" s="76"/>
      <c r="D78" s="29">
        <f ca="1">C78*INDIRECT("foodbase!c78")</f>
        <v>0</v>
      </c>
      <c r="E78" s="29">
        <f ca="1">C78*INDIRECT("foodbase!d78")</f>
        <v>0</v>
      </c>
      <c r="F78" s="29">
        <f ca="1">C78*INDIRECT("foodbase!e78")</f>
        <v>0</v>
      </c>
      <c r="G78" s="29">
        <f ca="1">C78*INDIRECT("foodbase!f78")</f>
        <v>0</v>
      </c>
      <c r="H78" s="13"/>
    </row>
    <row r="79" spans="2:8" ht="12.75">
      <c r="B79" s="108">
        <f ca="1">INDIRECT("foodbase!a79")</f>
        <v>0</v>
      </c>
      <c r="C79" s="76"/>
      <c r="D79" s="29">
        <f ca="1">C79*INDIRECT("foodbase!c79")</f>
        <v>0</v>
      </c>
      <c r="E79" s="29">
        <f ca="1">C79*INDIRECT("foodbase!d79")</f>
        <v>0</v>
      </c>
      <c r="F79" s="29">
        <f ca="1">C79*INDIRECT("foodbase!e79")</f>
        <v>0</v>
      </c>
      <c r="G79" s="29">
        <f ca="1">C79*INDIRECT("foodbase!f79")</f>
        <v>0</v>
      </c>
      <c r="H79" s="13"/>
    </row>
    <row r="80" spans="2:8" ht="12.75">
      <c r="B80" s="108">
        <f ca="1">INDIRECT("foodbase!a80")</f>
        <v>0</v>
      </c>
      <c r="C80" s="76"/>
      <c r="D80" s="29">
        <f ca="1">C80*INDIRECT("foodbase!c80")</f>
        <v>0</v>
      </c>
      <c r="E80" s="29">
        <f ca="1">C80*INDIRECT("foodbase!d80")</f>
        <v>0</v>
      </c>
      <c r="F80" s="29">
        <f ca="1">C80*INDIRECT("foodbase!e80")</f>
        <v>0</v>
      </c>
      <c r="G80" s="29">
        <f ca="1">C80*INDIRECT("foodbase!f80")</f>
        <v>0</v>
      </c>
      <c r="H80" s="13"/>
    </row>
    <row r="81" spans="2:8" ht="12.75">
      <c r="B81" s="108">
        <f ca="1">INDIRECT("foodbase!a81")</f>
        <v>0</v>
      </c>
      <c r="C81" s="76"/>
      <c r="D81" s="29">
        <f ca="1">C81*INDIRECT("foodbase!c81")</f>
        <v>0</v>
      </c>
      <c r="E81" s="29">
        <f ca="1">C81*INDIRECT("foodbase!d81")</f>
        <v>0</v>
      </c>
      <c r="F81" s="29">
        <f ca="1">C81*INDIRECT("foodbase!e81")</f>
        <v>0</v>
      </c>
      <c r="G81" s="29">
        <f ca="1">C81*INDIRECT("foodbase!f81")</f>
        <v>0</v>
      </c>
      <c r="H81" s="13"/>
    </row>
    <row r="82" spans="2:8" ht="12.75">
      <c r="B82" s="108">
        <f ca="1">INDIRECT("foodbase!a82")</f>
        <v>0</v>
      </c>
      <c r="C82" s="76"/>
      <c r="D82" s="29">
        <f ca="1">C82*INDIRECT("foodbase!c82")</f>
        <v>0</v>
      </c>
      <c r="E82" s="29">
        <f ca="1">C82*INDIRECT("foodbase!d82")</f>
        <v>0</v>
      </c>
      <c r="F82" s="29">
        <f ca="1">C82*INDIRECT("foodbase!e82")</f>
        <v>0</v>
      </c>
      <c r="G82" s="29">
        <f ca="1">C82*INDIRECT("foodbase!f82")</f>
        <v>0</v>
      </c>
      <c r="H82" s="13">
        <f>C82*foodbase!E182</f>
        <v>0</v>
      </c>
    </row>
    <row r="83" spans="2:8" ht="12.75">
      <c r="B83" s="108">
        <f ca="1">INDIRECT("foodbase!a83")</f>
        <v>0</v>
      </c>
      <c r="C83" s="76"/>
      <c r="D83" s="29">
        <f ca="1">C83*INDIRECT("foodbase!c83")</f>
        <v>0</v>
      </c>
      <c r="E83" s="29">
        <f ca="1">C83*INDIRECT("foodbase!d83")</f>
        <v>0</v>
      </c>
      <c r="F83" s="29">
        <f ca="1">C83*INDIRECT("foodbase!e83")</f>
        <v>0</v>
      </c>
      <c r="G83" s="29">
        <f ca="1">C83*INDIRECT("foodbase!f83")</f>
        <v>0</v>
      </c>
      <c r="H83" s="13">
        <f>C83*foodbase!E183</f>
        <v>0</v>
      </c>
    </row>
    <row r="84" spans="2:8" ht="12.75">
      <c r="B84" s="108">
        <f ca="1">INDIRECT("foodbase!a84")</f>
        <v>0</v>
      </c>
      <c r="C84" s="76"/>
      <c r="D84" s="29">
        <f ca="1">C84*INDIRECT("foodbase!c84")</f>
        <v>0</v>
      </c>
      <c r="E84" s="29">
        <f ca="1">C84*INDIRECT("foodbase!d84")</f>
        <v>0</v>
      </c>
      <c r="F84" s="29">
        <f ca="1">C84*INDIRECT("foodbase!e84")</f>
        <v>0</v>
      </c>
      <c r="G84" s="29">
        <f ca="1">C84*INDIRECT("foodbase!f84")</f>
        <v>0</v>
      </c>
      <c r="H84" s="13">
        <f>C84*foodbase!E184</f>
        <v>0</v>
      </c>
    </row>
    <row r="85" spans="2:8" ht="12.75">
      <c r="B85" s="108">
        <f ca="1">INDIRECT("foodbase!a85")</f>
        <v>0</v>
      </c>
      <c r="C85" s="76"/>
      <c r="D85" s="29">
        <f ca="1">C85*INDIRECT("foodbase!c85")</f>
        <v>0</v>
      </c>
      <c r="E85" s="29">
        <f ca="1">C85*INDIRECT("foodbase!d85")</f>
        <v>0</v>
      </c>
      <c r="F85" s="29">
        <f ca="1">C85*INDIRECT("foodbase!e85")</f>
        <v>0</v>
      </c>
      <c r="G85" s="29">
        <f ca="1">C85*INDIRECT("foodbase!f85")</f>
        <v>0</v>
      </c>
      <c r="H85" s="13">
        <f>C85*foodbase!E185</f>
        <v>0</v>
      </c>
    </row>
    <row r="86" spans="2:8" ht="12.75">
      <c r="B86" s="108">
        <f ca="1">INDIRECT("foodbase!a86")</f>
        <v>0</v>
      </c>
      <c r="C86" s="76"/>
      <c r="D86" s="29">
        <f ca="1">C86*INDIRECT("foodbase!c86")</f>
        <v>0</v>
      </c>
      <c r="E86" s="29">
        <f ca="1">C86*INDIRECT("foodbase!d86")</f>
        <v>0</v>
      </c>
      <c r="F86" s="29">
        <f ca="1">C86*INDIRECT("foodbase!e86")</f>
        <v>0</v>
      </c>
      <c r="G86" s="29">
        <f ca="1">C86*INDIRECT("foodbase!f86")</f>
        <v>0</v>
      </c>
      <c r="H86" s="13">
        <f>C86*foodbase!E186</f>
        <v>0</v>
      </c>
    </row>
    <row r="87" spans="2:8" ht="12.75">
      <c r="B87" s="108">
        <f ca="1">INDIRECT("foodbase!a87")</f>
        <v>0</v>
      </c>
      <c r="C87" s="76"/>
      <c r="D87" s="29">
        <f ca="1">C87*INDIRECT("foodbase!c87")</f>
        <v>0</v>
      </c>
      <c r="E87" s="29">
        <f ca="1">C87*INDIRECT("foodbase!d87")</f>
        <v>0</v>
      </c>
      <c r="F87" s="29">
        <f ca="1">C87*INDIRECT("foodbase!e87")</f>
        <v>0</v>
      </c>
      <c r="G87" s="29">
        <f ca="1">C87*INDIRECT("foodbase!f87")</f>
        <v>0</v>
      </c>
      <c r="H87" s="13">
        <f>C87*foodbase!E187</f>
        <v>0</v>
      </c>
    </row>
    <row r="88" spans="2:8" ht="12.75">
      <c r="B88" s="108">
        <f ca="1">INDIRECT("foodbase!a88")</f>
        <v>0</v>
      </c>
      <c r="C88" s="76"/>
      <c r="D88" s="29">
        <f ca="1">C88*INDIRECT("foodbase!c88")</f>
        <v>0</v>
      </c>
      <c r="E88" s="29">
        <f ca="1">C88*INDIRECT("foodbase!d88")</f>
        <v>0</v>
      </c>
      <c r="F88" s="29">
        <f ca="1">C88*INDIRECT("foodbase!e88")</f>
        <v>0</v>
      </c>
      <c r="G88" s="29">
        <f ca="1">C88*INDIRECT("foodbase!f88")</f>
        <v>0</v>
      </c>
      <c r="H88" s="13">
        <f>C88*foodbase!E188</f>
        <v>0</v>
      </c>
    </row>
    <row r="89" spans="2:8" ht="12.75">
      <c r="B89" s="108">
        <f ca="1">INDIRECT("foodbase!a89")</f>
        <v>0</v>
      </c>
      <c r="C89" s="76"/>
      <c r="D89" s="29">
        <f ca="1">C89*INDIRECT("foodbase!c89")</f>
        <v>0</v>
      </c>
      <c r="E89" s="29">
        <f ca="1">C89*INDIRECT("foodbase!d89")</f>
        <v>0</v>
      </c>
      <c r="F89" s="29">
        <f ca="1">C89*INDIRECT("foodbase!e89")</f>
        <v>0</v>
      </c>
      <c r="G89" s="29">
        <f ca="1">C89*INDIRECT("foodbase!f89")</f>
        <v>0</v>
      </c>
      <c r="H89" s="13">
        <f>C89*foodbase!E189</f>
        <v>0</v>
      </c>
    </row>
    <row r="90" spans="2:8" ht="12.75">
      <c r="B90" s="108">
        <f ca="1">INDIRECT("foodbase!a90")</f>
        <v>0</v>
      </c>
      <c r="C90" s="76"/>
      <c r="D90" s="29">
        <f ca="1">C90*INDIRECT("foodbase!c90")</f>
        <v>0</v>
      </c>
      <c r="E90" s="29">
        <f ca="1">C90*INDIRECT("foodbase!d90")</f>
        <v>0</v>
      </c>
      <c r="F90" s="29">
        <f ca="1">C90*INDIRECT("foodbase!e90")</f>
        <v>0</v>
      </c>
      <c r="G90" s="29">
        <f ca="1">C90*INDIRECT("foodbase!f90")</f>
        <v>0</v>
      </c>
      <c r="H90" s="13">
        <f>C90*foodbase!E190</f>
        <v>0</v>
      </c>
    </row>
    <row r="91" spans="2:8" ht="12.75">
      <c r="B91" s="108">
        <f ca="1">INDIRECT("foodbase!a91")</f>
        <v>0</v>
      </c>
      <c r="C91" s="76"/>
      <c r="D91" s="29">
        <f ca="1">C91*INDIRECT("foodbase!c91")</f>
        <v>0</v>
      </c>
      <c r="E91" s="29">
        <f ca="1">C91*INDIRECT("foodbase!d91")</f>
        <v>0</v>
      </c>
      <c r="F91" s="29">
        <f ca="1">C91*INDIRECT("foodbase!e91")</f>
        <v>0</v>
      </c>
      <c r="G91" s="29">
        <f ca="1">C91*INDIRECT("foodbase!f91")</f>
        <v>0</v>
      </c>
      <c r="H91" s="13">
        <f>C91*foodbase!E191</f>
        <v>0</v>
      </c>
    </row>
    <row r="92" spans="2:8" ht="12.75">
      <c r="B92" s="108">
        <f ca="1">INDIRECT("foodbase!a92")</f>
        <v>0</v>
      </c>
      <c r="C92" s="76"/>
      <c r="D92" s="29">
        <f ca="1">C92*INDIRECT("foodbase!c92")</f>
        <v>0</v>
      </c>
      <c r="E92" s="29">
        <f ca="1">C92*INDIRECT("foodbase!d92")</f>
        <v>0</v>
      </c>
      <c r="F92" s="29">
        <f ca="1">C92*INDIRECT("foodbase!e92")</f>
        <v>0</v>
      </c>
      <c r="G92" s="29">
        <f ca="1">C92*INDIRECT("foodbase!f92")</f>
        <v>0</v>
      </c>
      <c r="H92" s="13">
        <f>C92*foodbase!E192</f>
        <v>0</v>
      </c>
    </row>
    <row r="93" spans="2:8" ht="12.75">
      <c r="B93" s="108">
        <f ca="1">INDIRECT("foodbase!a93")</f>
        <v>0</v>
      </c>
      <c r="C93" s="76"/>
      <c r="D93" s="29">
        <f ca="1">C93*INDIRECT("foodbase!c93")</f>
        <v>0</v>
      </c>
      <c r="E93" s="29">
        <f ca="1">C93*INDIRECT("foodbase!d93")</f>
        <v>0</v>
      </c>
      <c r="F93" s="29">
        <f ca="1">C93*INDIRECT("foodbase!e93")</f>
        <v>0</v>
      </c>
      <c r="G93" s="29">
        <f ca="1">C93*INDIRECT("foodbase!f93")</f>
        <v>0</v>
      </c>
      <c r="H93" s="13">
        <f>C93*foodbase!E193</f>
        <v>0</v>
      </c>
    </row>
    <row r="94" spans="2:8" ht="12.75">
      <c r="B94" s="108">
        <f ca="1">INDIRECT("foodbase!a94")</f>
        <v>0</v>
      </c>
      <c r="C94" s="76"/>
      <c r="D94" s="29">
        <f ca="1">C94*INDIRECT("foodbase!c94")</f>
        <v>0</v>
      </c>
      <c r="E94" s="29">
        <f ca="1">C94*INDIRECT("foodbase!d94")</f>
        <v>0</v>
      </c>
      <c r="F94" s="29">
        <f ca="1">C94*INDIRECT("foodbase!e94")</f>
        <v>0</v>
      </c>
      <c r="G94" s="29">
        <f ca="1">C94*INDIRECT("foodbase!f94")</f>
        <v>0</v>
      </c>
      <c r="H94" s="13">
        <f>C94*foodbase!E194</f>
        <v>0</v>
      </c>
    </row>
    <row r="95" spans="2:8" ht="12.75">
      <c r="B95" s="108">
        <f ca="1">INDIRECT("foodbase!a95")</f>
        <v>0</v>
      </c>
      <c r="C95" s="76"/>
      <c r="D95" s="29">
        <f ca="1">C95*INDIRECT("foodbase!c95")</f>
        <v>0</v>
      </c>
      <c r="E95" s="29">
        <f ca="1">C95*INDIRECT("foodbase!d95")</f>
        <v>0</v>
      </c>
      <c r="F95" s="29">
        <f ca="1">C95*INDIRECT("foodbase!e95")</f>
        <v>0</v>
      </c>
      <c r="G95" s="29">
        <f ca="1">C95*INDIRECT("foodbase!f95")</f>
        <v>0</v>
      </c>
      <c r="H95" s="13">
        <f>C95*foodbase!E195</f>
        <v>0</v>
      </c>
    </row>
    <row r="96" spans="2:8" ht="12.75">
      <c r="B96" s="108">
        <f ca="1">INDIRECT("foodbase!a96")</f>
        <v>0</v>
      </c>
      <c r="C96" s="76"/>
      <c r="D96" s="29">
        <f ca="1">C96*INDIRECT("foodbase!c96")</f>
        <v>0</v>
      </c>
      <c r="E96" s="29">
        <f ca="1">C96*INDIRECT("foodbase!d96")</f>
        <v>0</v>
      </c>
      <c r="F96" s="29">
        <f ca="1">C96*INDIRECT("foodbase!e96")</f>
        <v>0</v>
      </c>
      <c r="G96" s="29">
        <f ca="1">C96*INDIRECT("foodbase!f96")</f>
        <v>0</v>
      </c>
      <c r="H96" s="13">
        <f>C96*foodbase!E196</f>
        <v>0</v>
      </c>
    </row>
    <row r="97" spans="2:8" ht="12.75">
      <c r="B97" s="108">
        <f ca="1">INDIRECT("foodbase!a97")</f>
        <v>0</v>
      </c>
      <c r="C97" s="76"/>
      <c r="D97" s="29">
        <f ca="1">C97*INDIRECT("foodbase!c97")</f>
        <v>0</v>
      </c>
      <c r="E97" s="29">
        <f ca="1">C97*INDIRECT("foodbase!d97")</f>
        <v>0</v>
      </c>
      <c r="F97" s="29">
        <f ca="1">C97*INDIRECT("foodbase!e97")</f>
        <v>0</v>
      </c>
      <c r="G97" s="29">
        <f ca="1">C97*INDIRECT("foodbase!f97")</f>
        <v>0</v>
      </c>
      <c r="H97" s="13">
        <f>C97*foodbase!E197</f>
        <v>0</v>
      </c>
    </row>
    <row r="98" spans="2:8" ht="12.75">
      <c r="B98" s="108">
        <f ca="1">INDIRECT("foodbase!a98")</f>
        <v>0</v>
      </c>
      <c r="C98" s="76"/>
      <c r="D98" s="29">
        <f ca="1">C98*INDIRECT("foodbase!c98")</f>
        <v>0</v>
      </c>
      <c r="E98" s="29">
        <f ca="1">C98*INDIRECT("foodbase!d98")</f>
        <v>0</v>
      </c>
      <c r="F98" s="29">
        <f ca="1">C98*INDIRECT("foodbase!e98")</f>
        <v>0</v>
      </c>
      <c r="G98" s="29">
        <f ca="1">C98*INDIRECT("foodbase!f98")</f>
        <v>0</v>
      </c>
      <c r="H98" s="13">
        <f>C98*foodbase!E198</f>
        <v>0</v>
      </c>
    </row>
    <row r="99" spans="2:8" ht="12.75">
      <c r="B99" s="108">
        <f ca="1">INDIRECT("foodbase!a99")</f>
        <v>0</v>
      </c>
      <c r="C99" s="76"/>
      <c r="D99" s="29">
        <f ca="1">C99*INDIRECT("foodbase!c99")</f>
        <v>0</v>
      </c>
      <c r="E99" s="29">
        <f ca="1">C99*INDIRECT("foodbase!d99")</f>
        <v>0</v>
      </c>
      <c r="F99" s="29">
        <f ca="1">C99*INDIRECT("foodbase!e99")</f>
        <v>0</v>
      </c>
      <c r="G99" s="29">
        <f ca="1">C99*INDIRECT("foodbase!f99")</f>
        <v>0</v>
      </c>
      <c r="H99" s="13">
        <f>C99*foodbase!E199</f>
        <v>0</v>
      </c>
    </row>
    <row r="100" spans="2:8" ht="12.75">
      <c r="B100" s="108">
        <f ca="1">INDIRECT("foodbase!a100")</f>
        <v>0</v>
      </c>
      <c r="C100" s="76"/>
      <c r="D100" s="29">
        <f ca="1">C100*INDIRECT("foodbase!c100")</f>
        <v>0</v>
      </c>
      <c r="E100" s="29">
        <f ca="1">C100*INDIRECT("foodbase!d100")</f>
        <v>0</v>
      </c>
      <c r="F100" s="29">
        <f ca="1">C100*INDIRECT("foodbase!e100")</f>
        <v>0</v>
      </c>
      <c r="G100" s="29">
        <f ca="1">C100*INDIRECT("foodbase!f100")</f>
        <v>0</v>
      </c>
      <c r="H100" s="13">
        <f>C100*foodbase!E200</f>
        <v>0</v>
      </c>
    </row>
    <row r="101" spans="2:8" ht="12.75">
      <c r="B101" s="108">
        <f ca="1">INDIRECT("foodbase!a101")</f>
        <v>0</v>
      </c>
      <c r="C101" s="76"/>
      <c r="D101" s="29">
        <f ca="1">C101*INDIRECT("foodbase!c101")</f>
        <v>0</v>
      </c>
      <c r="E101" s="29">
        <f ca="1">C101*INDIRECT("foodbase!d101")</f>
        <v>0</v>
      </c>
      <c r="F101" s="29">
        <f ca="1">C101*INDIRECT("foodbase!e101")</f>
        <v>0</v>
      </c>
      <c r="G101" s="29">
        <f ca="1">C101*INDIRECT("foodbase!f101")</f>
        <v>0</v>
      </c>
      <c r="H101" s="13">
        <f>C101*foodbase!E201</f>
        <v>0</v>
      </c>
    </row>
    <row r="102" spans="2:8" ht="12.75">
      <c r="B102" s="108">
        <f ca="1">INDIRECT("foodbase!a102")</f>
        <v>0</v>
      </c>
      <c r="C102" s="76"/>
      <c r="D102" s="29">
        <f ca="1">C102*INDIRECT("foodbase!c102")</f>
        <v>0</v>
      </c>
      <c r="E102" s="29">
        <f ca="1">C102*INDIRECT("foodbase!d102")</f>
        <v>0</v>
      </c>
      <c r="F102" s="29">
        <f ca="1">C102*INDIRECT("foodbase!e102")</f>
        <v>0</v>
      </c>
      <c r="G102" s="29">
        <f ca="1">C102*INDIRECT("foodbase!f102")</f>
        <v>0</v>
      </c>
      <c r="H102" s="13">
        <f>C102*foodbase!E202</f>
        <v>0</v>
      </c>
    </row>
    <row r="103" spans="2:8" ht="12.75">
      <c r="B103" s="108">
        <f ca="1">INDIRECT("foodbase!a103")</f>
        <v>0</v>
      </c>
      <c r="C103" s="76"/>
      <c r="D103" s="29">
        <f ca="1">C103*INDIRECT("foodbase!c103")</f>
        <v>0</v>
      </c>
      <c r="E103" s="29">
        <f ca="1">C103*INDIRECT("foodbase!d103")</f>
        <v>0</v>
      </c>
      <c r="F103" s="29">
        <f ca="1">C103*INDIRECT("foodbase!e103")</f>
        <v>0</v>
      </c>
      <c r="G103" s="29">
        <f ca="1">C103*INDIRECT("foodbase!f103")</f>
        <v>0</v>
      </c>
      <c r="H103" s="13">
        <f>C103*foodbase!E203</f>
        <v>0</v>
      </c>
    </row>
    <row r="104" spans="2:8" ht="12.75">
      <c r="B104" s="108">
        <f ca="1">INDIRECT("foodbase!a104")</f>
        <v>0</v>
      </c>
      <c r="C104" s="76"/>
      <c r="D104" s="29">
        <f ca="1">C104*INDIRECT("foodbase!c104")</f>
        <v>0</v>
      </c>
      <c r="E104" s="29">
        <f ca="1">C104*INDIRECT("foodbase!d104")</f>
        <v>0</v>
      </c>
      <c r="F104" s="29">
        <f ca="1">C104*INDIRECT("foodbase!e104")</f>
        <v>0</v>
      </c>
      <c r="G104" s="29">
        <f ca="1">C104*INDIRECT("foodbase!f104")</f>
        <v>0</v>
      </c>
      <c r="H104" s="13">
        <f>C104*foodbase!E204</f>
        <v>0</v>
      </c>
    </row>
    <row r="105" spans="2:8" ht="12.75">
      <c r="B105" s="108">
        <f ca="1">INDIRECT("foodbase!a105")</f>
        <v>0</v>
      </c>
      <c r="C105" s="76"/>
      <c r="D105" s="29">
        <f ca="1">C105*INDIRECT("foodbase!c105")</f>
        <v>0</v>
      </c>
      <c r="E105" s="29">
        <f ca="1">C105*INDIRECT("foodbase!d105")</f>
        <v>0</v>
      </c>
      <c r="F105" s="29">
        <f ca="1">C105*INDIRECT("foodbase!e105")</f>
        <v>0</v>
      </c>
      <c r="G105" s="29">
        <f ca="1">C105*INDIRECT("foodbase!f105")</f>
        <v>0</v>
      </c>
      <c r="H105" s="13">
        <f>C105*foodbase!E205</f>
        <v>0</v>
      </c>
    </row>
    <row r="106" spans="2:8" ht="12.75">
      <c r="B106" s="108">
        <f ca="1">INDIRECT("foodbase!a106")</f>
        <v>0</v>
      </c>
      <c r="C106" s="76"/>
      <c r="D106" s="29">
        <f ca="1">C106*INDIRECT("foodbase!c106")</f>
        <v>0</v>
      </c>
      <c r="E106" s="29">
        <f ca="1">C106*INDIRECT("foodbase!d106")</f>
        <v>0</v>
      </c>
      <c r="F106" s="29">
        <f ca="1">C106*INDIRECT("foodbase!e106")</f>
        <v>0</v>
      </c>
      <c r="G106" s="29">
        <f ca="1">C106*INDIRECT("foodbase!f106")</f>
        <v>0</v>
      </c>
      <c r="H106" s="13">
        <f>C106*foodbase!E206</f>
        <v>0</v>
      </c>
    </row>
    <row r="107" spans="2:8" ht="12.75">
      <c r="B107" s="108">
        <f ca="1">INDIRECT("foodbase!a107")</f>
        <v>0</v>
      </c>
      <c r="C107" s="76"/>
      <c r="D107" s="29">
        <f ca="1">C107*INDIRECT("foodbase!c107")</f>
        <v>0</v>
      </c>
      <c r="E107" s="29">
        <f ca="1">C107*INDIRECT("foodbase!d107")</f>
        <v>0</v>
      </c>
      <c r="F107" s="29">
        <f ca="1">C107*INDIRECT("foodbase!e107")</f>
        <v>0</v>
      </c>
      <c r="G107" s="29">
        <f ca="1">C107*INDIRECT("foodbase!f107")</f>
        <v>0</v>
      </c>
      <c r="H107" s="13">
        <f>C107*foodbase!E207</f>
        <v>0</v>
      </c>
    </row>
    <row r="108" spans="2:7" ht="12.75">
      <c r="B108" s="108">
        <f ca="1">INDIRECT("foodbase!a108")</f>
        <v>0</v>
      </c>
      <c r="C108" s="76"/>
      <c r="D108" s="29">
        <f ca="1">C108*INDIRECT("foodbase!c108")</f>
        <v>0</v>
      </c>
      <c r="E108" s="29">
        <f ca="1">C108*INDIRECT("foodbase!d108")</f>
        <v>0</v>
      </c>
      <c r="F108" s="29">
        <f ca="1">C108*INDIRECT("foodbase!e108")</f>
        <v>0</v>
      </c>
      <c r="G108" s="29">
        <f ca="1">C108*INDIRECT("foodbase!f108")</f>
        <v>0</v>
      </c>
    </row>
    <row r="109" spans="2:7" ht="12.75">
      <c r="B109" s="108">
        <f ca="1">INDIRECT("foodbase!a109")</f>
        <v>0</v>
      </c>
      <c r="C109" s="76"/>
      <c r="D109" s="29">
        <f ca="1">C109*INDIRECT("foodbase!c109")</f>
        <v>0</v>
      </c>
      <c r="E109" s="29">
        <f ca="1">C109*INDIRECT("foodbase!d109")</f>
        <v>0</v>
      </c>
      <c r="F109" s="29">
        <f ca="1">C109*INDIRECT("foodbase!e109")</f>
        <v>0</v>
      </c>
      <c r="G109" s="29">
        <f ca="1">C109*INDIRECT("foodbase!f109")</f>
        <v>0</v>
      </c>
    </row>
    <row r="110" spans="2:7" ht="12.75">
      <c r="B110" s="108">
        <f ca="1">INDIRECT("foodbase!a110")</f>
        <v>0</v>
      </c>
      <c r="C110" s="76"/>
      <c r="D110" s="29">
        <f ca="1">C110*INDIRECT("foodbase!c110")</f>
        <v>0</v>
      </c>
      <c r="E110" s="29">
        <f ca="1">C110*INDIRECT("foodbase!d110")</f>
        <v>0</v>
      </c>
      <c r="F110" s="29">
        <f ca="1">C110*INDIRECT("foodbase!e110")</f>
        <v>0</v>
      </c>
      <c r="G110" s="29">
        <f ca="1">C110*INDIRECT("foodbase!f110")</f>
        <v>0</v>
      </c>
    </row>
    <row r="111" spans="2:7" ht="12.75">
      <c r="B111" s="108">
        <f ca="1">INDIRECT("foodbase!a111")</f>
        <v>0</v>
      </c>
      <c r="C111" s="76"/>
      <c r="D111" s="29">
        <f ca="1">C111*INDIRECT("foodbase!c111")</f>
        <v>0</v>
      </c>
      <c r="E111" s="29">
        <f ca="1">C111*INDIRECT("foodbase!d111")</f>
        <v>0</v>
      </c>
      <c r="F111" s="29">
        <f ca="1">C111*INDIRECT("foodbase!e111")</f>
        <v>0</v>
      </c>
      <c r="G111" s="29">
        <f ca="1">C111*INDIRECT("foodbase!f111")</f>
        <v>0</v>
      </c>
    </row>
    <row r="112" spans="2:7" ht="12.75">
      <c r="B112" s="108">
        <f ca="1">INDIRECT("foodbase!a112")</f>
        <v>0</v>
      </c>
      <c r="C112" s="76"/>
      <c r="D112" s="29">
        <f ca="1">C112*INDIRECT("foodbase!c112")</f>
        <v>0</v>
      </c>
      <c r="E112" s="29">
        <f ca="1">C112*INDIRECT("foodbase!d112")</f>
        <v>0</v>
      </c>
      <c r="F112" s="29">
        <f ca="1">C112*INDIRECT("foodbase!e112")</f>
        <v>0</v>
      </c>
      <c r="G112" s="29">
        <f ca="1">C112*INDIRECT("foodbase!f112")</f>
        <v>0</v>
      </c>
    </row>
    <row r="113" spans="2:7" ht="12.75">
      <c r="B113" s="108">
        <f ca="1">INDIRECT("foodbase!a113")</f>
        <v>0</v>
      </c>
      <c r="C113" s="76"/>
      <c r="D113" s="29">
        <f ca="1">C113*INDIRECT("foodbase!c113")</f>
        <v>0</v>
      </c>
      <c r="E113" s="29">
        <f ca="1">C113*INDIRECT("foodbase!d113")</f>
        <v>0</v>
      </c>
      <c r="F113" s="29">
        <f ca="1">C113*INDIRECT("foodbase!e113")</f>
        <v>0</v>
      </c>
      <c r="G113" s="29">
        <f ca="1">C113*INDIRECT("foodbase!f113")</f>
        <v>0</v>
      </c>
    </row>
    <row r="114" spans="2:7" ht="12.75">
      <c r="B114" s="108">
        <f ca="1">INDIRECT("foodbase!a114")</f>
        <v>0</v>
      </c>
      <c r="C114" s="76"/>
      <c r="D114" s="29">
        <f ca="1">C114*INDIRECT("foodbase!c114")</f>
        <v>0</v>
      </c>
      <c r="E114" s="29">
        <f ca="1">C114*INDIRECT("foodbase!d114")</f>
        <v>0</v>
      </c>
      <c r="F114" s="29">
        <f ca="1">C114*INDIRECT("foodbase!e114")</f>
        <v>0</v>
      </c>
      <c r="G114" s="29">
        <f ca="1">C114*INDIRECT("foodbase!f114")</f>
        <v>0</v>
      </c>
    </row>
    <row r="115" spans="2:7" ht="12.75">
      <c r="B115" s="108">
        <f ca="1">INDIRECT("foodbase!a115")</f>
        <v>0</v>
      </c>
      <c r="C115" s="76"/>
      <c r="D115" s="29">
        <f ca="1">C115*INDIRECT("foodbase!c115")</f>
        <v>0</v>
      </c>
      <c r="E115" s="29">
        <f ca="1">C115*INDIRECT("foodbase!d115")</f>
        <v>0</v>
      </c>
      <c r="F115" s="29">
        <f ca="1">C115*INDIRECT("foodbase!e115")</f>
        <v>0</v>
      </c>
      <c r="G115" s="29">
        <f ca="1">C115*INDIRECT("foodbase!f115")</f>
        <v>0</v>
      </c>
    </row>
    <row r="116" spans="2:7" ht="12.75">
      <c r="B116" s="108">
        <f ca="1">INDIRECT("foodbase!a116")</f>
        <v>0</v>
      </c>
      <c r="C116" s="76"/>
      <c r="D116" s="29">
        <f ca="1">C116*INDIRECT("foodbase!c116")</f>
        <v>0</v>
      </c>
      <c r="E116" s="29">
        <f ca="1">C116*INDIRECT("foodbase!d116")</f>
        <v>0</v>
      </c>
      <c r="F116" s="29">
        <f ca="1">C116*INDIRECT("foodbase!e116")</f>
        <v>0</v>
      </c>
      <c r="G116" s="29">
        <f ca="1">C116*INDIRECT("foodbase!f116")</f>
        <v>0</v>
      </c>
    </row>
    <row r="117" spans="2:7" ht="12.75">
      <c r="B117" s="108">
        <f ca="1">INDIRECT("foodbase!a117")</f>
        <v>0</v>
      </c>
      <c r="C117" s="76"/>
      <c r="D117" s="29">
        <f ca="1">C117*INDIRECT("foodbase!c117")</f>
        <v>0</v>
      </c>
      <c r="E117" s="29">
        <f ca="1">C117*INDIRECT("foodbase!d117")</f>
        <v>0</v>
      </c>
      <c r="F117" s="29">
        <f ca="1">C117*INDIRECT("foodbase!e117")</f>
        <v>0</v>
      </c>
      <c r="G117" s="29">
        <f ca="1">C117*INDIRECT("foodbase!f117")</f>
        <v>0</v>
      </c>
    </row>
    <row r="118" spans="2:7" ht="12.75">
      <c r="B118" s="108">
        <f ca="1">INDIRECT("foodbase!a118")</f>
        <v>0</v>
      </c>
      <c r="C118" s="76"/>
      <c r="D118" s="29">
        <f ca="1">C118*INDIRECT("foodbase!c118")</f>
        <v>0</v>
      </c>
      <c r="E118" s="29">
        <f ca="1">C118*INDIRECT("foodbase!d118")</f>
        <v>0</v>
      </c>
      <c r="F118" s="29">
        <f ca="1">C118*INDIRECT("foodbase!e118")</f>
        <v>0</v>
      </c>
      <c r="G118" s="29">
        <f ca="1">C118*INDIRECT("foodbase!f118")</f>
        <v>0</v>
      </c>
    </row>
    <row r="119" spans="2:7" ht="12.75">
      <c r="B119" s="108">
        <f ca="1">INDIRECT("foodbase!a119")</f>
        <v>0</v>
      </c>
      <c r="C119" s="76"/>
      <c r="D119" s="29">
        <f ca="1">C119*INDIRECT("foodbase!c119")</f>
        <v>0</v>
      </c>
      <c r="E119" s="29">
        <f ca="1">C119*INDIRECT("foodbase!d119")</f>
        <v>0</v>
      </c>
      <c r="F119" s="29">
        <f ca="1">C119*INDIRECT("foodbase!e119")</f>
        <v>0</v>
      </c>
      <c r="G119" s="29">
        <f ca="1">C119*INDIRECT("foodbase!f119")</f>
        <v>0</v>
      </c>
    </row>
    <row r="120" spans="2:7" ht="12.75">
      <c r="B120" s="108">
        <f ca="1">INDIRECT("foodbase!a120")</f>
        <v>0</v>
      </c>
      <c r="C120" s="76"/>
      <c r="D120" s="29">
        <f ca="1">C120*INDIRECT("foodbase!c120")</f>
        <v>0</v>
      </c>
      <c r="E120" s="29">
        <f ca="1">C120*INDIRECT("foodbase!d120")</f>
        <v>0</v>
      </c>
      <c r="F120" s="29">
        <f ca="1">C120*INDIRECT("foodbase!e120")</f>
        <v>0</v>
      </c>
      <c r="G120" s="29">
        <f ca="1">C120*INDIRECT("foodbase!f120")</f>
        <v>0</v>
      </c>
    </row>
    <row r="121" spans="2:7" ht="12.75">
      <c r="B121" s="108">
        <f ca="1">INDIRECT("foodbase!a121")</f>
        <v>0</v>
      </c>
      <c r="C121" s="76"/>
      <c r="D121" s="29">
        <f ca="1">C121*INDIRECT("foodbase!c121")</f>
        <v>0</v>
      </c>
      <c r="E121" s="29">
        <f ca="1">C121*INDIRECT("foodbase!d121")</f>
        <v>0</v>
      </c>
      <c r="F121" s="29">
        <f ca="1">C121*INDIRECT("foodbase!e121")</f>
        <v>0</v>
      </c>
      <c r="G121" s="29">
        <f ca="1">C121*INDIRECT("foodbase!f121")</f>
        <v>0</v>
      </c>
    </row>
    <row r="122" spans="2:7" ht="12.75">
      <c r="B122" s="108">
        <f ca="1">INDIRECT("foodbase!a122")</f>
        <v>0</v>
      </c>
      <c r="C122" s="76"/>
      <c r="D122" s="29">
        <f ca="1">C122*INDIRECT("foodbase!c122")</f>
        <v>0</v>
      </c>
      <c r="E122" s="29">
        <f ca="1">C122*INDIRECT("foodbase!d122")</f>
        <v>0</v>
      </c>
      <c r="F122" s="29">
        <f ca="1">C122*INDIRECT("foodbase!e122")</f>
        <v>0</v>
      </c>
      <c r="G122" s="29">
        <f ca="1">C122*INDIRECT("foodbase!f122")</f>
        <v>0</v>
      </c>
    </row>
    <row r="123" spans="2:7" ht="12.75">
      <c r="B123" s="108">
        <f ca="1">INDIRECT("foodbase!a123")</f>
        <v>0</v>
      </c>
      <c r="C123" s="76"/>
      <c r="D123" s="29">
        <f ca="1">C123*INDIRECT("foodbase!c123")</f>
        <v>0</v>
      </c>
      <c r="E123" s="29">
        <f ca="1">C123*INDIRECT("foodbase!d123")</f>
        <v>0</v>
      </c>
      <c r="F123" s="29">
        <f ca="1">C123*INDIRECT("foodbase!e123")</f>
        <v>0</v>
      </c>
      <c r="G123" s="29">
        <f ca="1">C123*INDIRECT("foodbase!f123")</f>
        <v>0</v>
      </c>
    </row>
    <row r="124" spans="2:7" ht="12.75">
      <c r="B124" s="108">
        <f ca="1">INDIRECT("foodbase!a124")</f>
        <v>0</v>
      </c>
      <c r="C124" s="76"/>
      <c r="D124" s="29">
        <f ca="1">C124*INDIRECT("foodbase!c124")</f>
        <v>0</v>
      </c>
      <c r="E124" s="29">
        <f ca="1">C124*INDIRECT("foodbase!d124")</f>
        <v>0</v>
      </c>
      <c r="F124" s="29">
        <f ca="1">C124*INDIRECT("foodbase!e124")</f>
        <v>0</v>
      </c>
      <c r="G124" s="29">
        <f ca="1">C124*INDIRECT("foodbase!f124")</f>
        <v>0</v>
      </c>
    </row>
    <row r="125" spans="2:7" ht="12.75">
      <c r="B125" s="108" t="str">
        <f ca="1">INDIRECT("foodbase!a125")</f>
        <v>Apple juice</v>
      </c>
      <c r="C125" s="76"/>
      <c r="D125" s="29">
        <f ca="1">C125*INDIRECT("foodbase!c125")</f>
        <v>0</v>
      </c>
      <c r="E125" s="29">
        <f ca="1">C125*INDIRECT("foodbase!d125")</f>
        <v>0</v>
      </c>
      <c r="F125" s="29">
        <f ca="1">C125*INDIRECT("foodbase!e125")</f>
        <v>0</v>
      </c>
      <c r="G125" s="29">
        <f ca="1">C125*INDIRECT("foodbase!f125")</f>
        <v>0</v>
      </c>
    </row>
    <row r="126" spans="2:7" ht="12.75">
      <c r="B126" s="108" t="str">
        <f ca="1">INDIRECT("foodbase!a126")</f>
        <v>Apple pie</v>
      </c>
      <c r="C126" s="76"/>
      <c r="D126" s="29">
        <f ca="1">C126*INDIRECT("foodbase!c126")</f>
        <v>0</v>
      </c>
      <c r="E126" s="29">
        <f ca="1">C126*INDIRECT("foodbase!d126")</f>
        <v>0</v>
      </c>
      <c r="F126" s="29">
        <f ca="1">C126*INDIRECT("foodbase!e126")</f>
        <v>0</v>
      </c>
      <c r="G126" s="29">
        <f ca="1">C126*INDIRECT("foodbase!f126")</f>
        <v>0</v>
      </c>
    </row>
    <row r="127" spans="2:7" ht="12.75">
      <c r="B127" s="108" t="str">
        <f ca="1">INDIRECT("foodbase!a127")</f>
        <v>Apples raw with peel 2 3/4 diam</v>
      </c>
      <c r="C127" s="76"/>
      <c r="D127" s="29">
        <f ca="1">C127*INDIRECT("foodbase!c127")</f>
        <v>0</v>
      </c>
      <c r="E127" s="29">
        <f ca="1">C127*INDIRECT("foodbase!d127")</f>
        <v>0</v>
      </c>
      <c r="F127" s="29">
        <f ca="1">C127*INDIRECT("foodbase!e127")</f>
        <v>0</v>
      </c>
      <c r="G127" s="29">
        <f ca="1">C127*INDIRECT("foodbase!f127")</f>
        <v>0</v>
      </c>
    </row>
    <row r="128" spans="2:7" ht="12.75">
      <c r="B128" s="108" t="str">
        <f ca="1">INDIRECT("foodbase!a128")</f>
        <v>Apricot nectar canned</v>
      </c>
      <c r="C128" s="76"/>
      <c r="D128" s="29">
        <f ca="1">C128*INDIRECT("foodbase!c128")</f>
        <v>0</v>
      </c>
      <c r="E128" s="29">
        <f ca="1">C128*INDIRECT("foodbase!d128")</f>
        <v>0</v>
      </c>
      <c r="F128" s="29">
        <f ca="1">C128*INDIRECT("foodbase!e128")</f>
        <v>0</v>
      </c>
      <c r="G128" s="29">
        <f ca="1">C128*INDIRECT("foodbase!f128")</f>
        <v>0</v>
      </c>
    </row>
    <row r="129" spans="2:7" ht="12.75">
      <c r="B129" s="108" t="str">
        <f ca="1">INDIRECT("foodbase!a129")</f>
        <v>Asparagus, raw cuts and tips</v>
      </c>
      <c r="C129" s="76"/>
      <c r="D129" s="29">
        <f ca="1">C129*INDIRECT("foodbase!c129")</f>
        <v>0</v>
      </c>
      <c r="E129" s="29">
        <f ca="1">C129*INDIRECT("foodbase!d129")</f>
        <v>0</v>
      </c>
      <c r="F129" s="29">
        <f ca="1">C129*INDIRECT("foodbase!e129")</f>
        <v>0</v>
      </c>
      <c r="G129" s="29">
        <f ca="1">C129*INDIRECT("foodbase!f129")</f>
        <v>0</v>
      </c>
    </row>
    <row r="130" spans="2:7" ht="12.75">
      <c r="B130" s="108" t="str">
        <f ca="1">INDIRECT("foodbase!a130")</f>
        <v>Avocado Calif 1/2 lb with refuse</v>
      </c>
      <c r="C130" s="76"/>
      <c r="D130" s="29">
        <f ca="1">C130*INDIRECT("foodbase!c130")</f>
        <v>0</v>
      </c>
      <c r="E130" s="29">
        <f ca="1">C130*INDIRECT("foodbase!d130")</f>
        <v>0</v>
      </c>
      <c r="F130" s="29">
        <f ca="1">C130*INDIRECT("foodbase!e130")</f>
        <v>0</v>
      </c>
      <c r="G130" s="29">
        <f ca="1">C130*INDIRECT("foodbase!f130")</f>
        <v>0</v>
      </c>
    </row>
    <row r="131" spans="2:7" ht="12.75">
      <c r="B131" s="108" t="str">
        <f ca="1">INDIRECT("foodbase!a131")</f>
        <v>Bagel, plain</v>
      </c>
      <c r="C131" s="76"/>
      <c r="D131" s="29">
        <f ca="1">C131*INDIRECT("foodbase!c131")</f>
        <v>0</v>
      </c>
      <c r="E131" s="29">
        <f ca="1">C131*INDIRECT("foodbase!d131")</f>
        <v>0</v>
      </c>
      <c r="F131" s="29">
        <f ca="1">C131*INDIRECT("foodbase!e131")</f>
        <v>0</v>
      </c>
      <c r="G131" s="29">
        <f ca="1">C131*INDIRECT("foodbase!f131")</f>
        <v>0</v>
      </c>
    </row>
    <row r="132" spans="2:7" ht="12.75">
      <c r="B132" s="108" t="str">
        <f ca="1">INDIRECT("foodbase!a132")</f>
        <v>Bamboo shoots, canned and sliced</v>
      </c>
      <c r="C132" s="76"/>
      <c r="D132" s="29">
        <f ca="1">C132*INDIRECT("foodbase!c132")</f>
        <v>0</v>
      </c>
      <c r="E132" s="29">
        <f ca="1">C132*INDIRECT("foodbase!d132")</f>
        <v>0</v>
      </c>
      <c r="F132" s="29">
        <f ca="1">C132*INDIRECT("foodbase!e132")</f>
        <v>0</v>
      </c>
      <c r="G132" s="29">
        <f ca="1">C132*INDIRECT("foodbase!f132")</f>
        <v>0</v>
      </c>
    </row>
    <row r="133" spans="2:7" ht="12.75">
      <c r="B133" s="108" t="str">
        <f ca="1">INDIRECT("foodbase!a133")</f>
        <v>Banana raw without peel</v>
      </c>
      <c r="C133" s="76"/>
      <c r="D133" s="29">
        <f ca="1">C133*INDIRECT("foodbase!c133")</f>
        <v>0</v>
      </c>
      <c r="E133" s="29">
        <f ca="1">C133*INDIRECT("foodbase!d133")</f>
        <v>0</v>
      </c>
      <c r="F133" s="29">
        <f ca="1">C133*INDIRECT("foodbase!e133")</f>
        <v>0</v>
      </c>
      <c r="G133" s="29">
        <f ca="1">C133*INDIRECT("foodbase!f133")</f>
        <v>0</v>
      </c>
    </row>
    <row r="134" spans="2:7" ht="12.75">
      <c r="B134" s="108" t="str">
        <f ca="1">INDIRECT("foodbase!a134")</f>
        <v>Beef - Liver</v>
      </c>
      <c r="C134" s="76"/>
      <c r="D134" s="29">
        <f ca="1">C134*INDIRECT("foodbase!c134")</f>
        <v>0</v>
      </c>
      <c r="E134" s="29">
        <f ca="1">C134*INDIRECT("foodbase!d134")</f>
        <v>0</v>
      </c>
      <c r="F134" s="29">
        <f ca="1">C134*INDIRECT("foodbase!e134")</f>
        <v>0</v>
      </c>
      <c r="G134" s="29">
        <f ca="1">C134*INDIRECT("foodbase!f134")</f>
        <v>0</v>
      </c>
    </row>
    <row r="135" spans="2:7" ht="12.75">
      <c r="B135" s="108" t="str">
        <f ca="1">INDIRECT("foodbase!a135")</f>
        <v>Beef - Steak lean and fat</v>
      </c>
      <c r="C135" s="76"/>
      <c r="D135" s="29">
        <f ca="1">C135*INDIRECT("foodbase!c135")</f>
        <v>0</v>
      </c>
      <c r="E135" s="29">
        <f ca="1">C135*INDIRECT("foodbase!d135")</f>
        <v>0</v>
      </c>
      <c r="F135" s="29">
        <f ca="1">C135*INDIRECT("foodbase!e135")</f>
        <v>0</v>
      </c>
      <c r="G135" s="29">
        <f ca="1">C135*INDIRECT("foodbase!f135")</f>
        <v>0</v>
      </c>
    </row>
    <row r="136" spans="2:7" ht="12.75">
      <c r="B136" s="108" t="str">
        <f ca="1">INDIRECT("foodbase!a136")</f>
        <v>Beef dried chipped</v>
      </c>
      <c r="C136" s="76"/>
      <c r="D136" s="29">
        <f ca="1">C136*INDIRECT("foodbase!c136")</f>
        <v>0</v>
      </c>
      <c r="E136" s="29">
        <f ca="1">C136*INDIRECT("foodbase!d136")</f>
        <v>0</v>
      </c>
      <c r="F136" s="29">
        <f ca="1">C136*INDIRECT("foodbase!e136")</f>
        <v>0</v>
      </c>
      <c r="G136" s="29">
        <f ca="1">C136*INDIRECT("foodbase!f136")</f>
        <v>0</v>
      </c>
    </row>
    <row r="137" spans="2:7" ht="12.75">
      <c r="B137" s="108" t="str">
        <f ca="1">INDIRECT("foodbase!a137")</f>
        <v>Beef gravy canned</v>
      </c>
      <c r="C137" s="76"/>
      <c r="D137" s="29">
        <f ca="1">C137*INDIRECT("foodbase!c137")</f>
        <v>0</v>
      </c>
      <c r="E137" s="29">
        <f ca="1">C137*INDIRECT("foodbase!d137")</f>
        <v>0</v>
      </c>
      <c r="F137" s="29">
        <f ca="1">C137*INDIRECT("foodbase!e137")</f>
        <v>0</v>
      </c>
      <c r="G137" s="29">
        <f ca="1">C137*INDIRECT("foodbase!f137")</f>
        <v>0</v>
      </c>
    </row>
    <row r="138" spans="2:7" ht="12.75">
      <c r="B138" s="108" t="str">
        <f ca="1">INDIRECT("foodbase!a138")</f>
        <v>Beer Light (12 fl oz)</v>
      </c>
      <c r="C138" s="76"/>
      <c r="D138" s="29">
        <f ca="1">C138*INDIRECT("foodbase!c138")</f>
        <v>0</v>
      </c>
      <c r="E138" s="29">
        <f ca="1">C138*INDIRECT("foodbase!d138")</f>
        <v>0</v>
      </c>
      <c r="F138" s="29">
        <f ca="1">C138*INDIRECT("foodbase!e138")</f>
        <v>0</v>
      </c>
      <c r="G138" s="29">
        <f ca="1">C138*INDIRECT("foodbase!f138")</f>
        <v>0</v>
      </c>
    </row>
    <row r="139" spans="2:7" ht="12.75">
      <c r="B139" s="108" t="str">
        <f ca="1">INDIRECT("foodbase!a139")</f>
        <v>Beer Regular (12 fl oz)</v>
      </c>
      <c r="C139" s="76"/>
      <c r="D139" s="29">
        <f ca="1">C139*INDIRECT("foodbase!c139")</f>
        <v>0</v>
      </c>
      <c r="E139" s="29">
        <f ca="1">C139*INDIRECT("foodbase!d139")</f>
        <v>0</v>
      </c>
      <c r="F139" s="29">
        <f ca="1">C139*INDIRECT("foodbase!e139")</f>
        <v>0</v>
      </c>
      <c r="G139" s="29">
        <f ca="1">C139*INDIRECT("foodbase!f139")</f>
        <v>0</v>
      </c>
    </row>
    <row r="140" spans="2:7" ht="12.75">
      <c r="B140" s="108" t="str">
        <f ca="1">INDIRECT("foodbase!a140")</f>
        <v>Beets cooked sliced or diced</v>
      </c>
      <c r="C140" s="76"/>
      <c r="D140" s="29">
        <f ca="1">C140*INDIRECT("foodbase!c140")</f>
        <v>0</v>
      </c>
      <c r="E140" s="29">
        <f ca="1">C140*INDIRECT("foodbase!d140")</f>
        <v>0</v>
      </c>
      <c r="F140" s="29">
        <f ca="1">C140*INDIRECT("foodbase!e140")</f>
        <v>0</v>
      </c>
      <c r="G140" s="29">
        <f ca="1">C140*INDIRECT("foodbase!f140")</f>
        <v>0</v>
      </c>
    </row>
    <row r="141" spans="2:7" ht="12.75">
      <c r="B141" s="108" t="str">
        <f ca="1">INDIRECT("foodbase!a141")</f>
        <v>Blackberries raw</v>
      </c>
      <c r="C141" s="76"/>
      <c r="D141" s="29">
        <f ca="1">C141*INDIRECT("foodbase!c141")</f>
        <v>0</v>
      </c>
      <c r="E141" s="29">
        <f ca="1">C141*INDIRECT("foodbase!d141")</f>
        <v>0</v>
      </c>
      <c r="F141" s="29">
        <f ca="1">C141*INDIRECT("foodbase!e141")</f>
        <v>0</v>
      </c>
      <c r="G141" s="29">
        <f ca="1">C141*INDIRECT("foodbase!f141")</f>
        <v>0</v>
      </c>
    </row>
    <row r="142" spans="2:7" ht="12.75">
      <c r="B142" s="108" t="str">
        <f ca="1">INDIRECT("foodbase!a142")</f>
        <v>Blackeyed peas frozen drained</v>
      </c>
      <c r="C142" s="76"/>
      <c r="D142" s="29">
        <f ca="1">C142*INDIRECT("foodbase!c142")</f>
        <v>0</v>
      </c>
      <c r="E142" s="29">
        <f ca="1">C142*INDIRECT("foodbase!d142")</f>
        <v>0</v>
      </c>
      <c r="F142" s="29">
        <f ca="1">C142*INDIRECT("foodbase!e142")</f>
        <v>0</v>
      </c>
      <c r="G142" s="29">
        <f ca="1">C142*INDIRECT("foodbase!f142")</f>
        <v>0</v>
      </c>
    </row>
    <row r="143" spans="2:7" ht="12.75">
      <c r="B143" s="108" t="str">
        <f ca="1">INDIRECT("foodbase!a143")</f>
        <v>Blueberries raw</v>
      </c>
      <c r="C143" s="76"/>
      <c r="D143" s="29">
        <f ca="1">C143*INDIRECT("foodbase!c143")</f>
        <v>0</v>
      </c>
      <c r="E143" s="29">
        <f ca="1">C143*INDIRECT("foodbase!d143")</f>
        <v>0</v>
      </c>
      <c r="F143" s="29">
        <f ca="1">C143*INDIRECT("foodbase!e143")</f>
        <v>0</v>
      </c>
      <c r="G143" s="29">
        <f ca="1">C143*INDIRECT("foodbase!f143")</f>
        <v>0</v>
      </c>
    </row>
    <row r="144" spans="2:7" ht="12.75">
      <c r="B144" s="108" t="str">
        <f ca="1">INDIRECT("foodbase!a144")</f>
        <v>Bouillon</v>
      </c>
      <c r="C144" s="76"/>
      <c r="D144" s="29">
        <f ca="1">C144*INDIRECT("foodbase!c144")</f>
        <v>0</v>
      </c>
      <c r="E144" s="29">
        <f ca="1">C144*INDIRECT("foodbase!d144")</f>
        <v>0</v>
      </c>
      <c r="F144" s="29">
        <f ca="1">C144*INDIRECT("foodbase!e144")</f>
        <v>0</v>
      </c>
      <c r="G144" s="29">
        <f ca="1">C144*INDIRECT("foodbase!f144")</f>
        <v>0</v>
      </c>
    </row>
    <row r="145" spans="2:7" ht="12.75">
      <c r="B145" s="108" t="str">
        <f ca="1">INDIRECT("foodbase!a145")</f>
        <v>Bread crumbs, dry grated</v>
      </c>
      <c r="C145" s="76"/>
      <c r="D145" s="29">
        <f ca="1">C145*INDIRECT("foodbase!c145")</f>
        <v>0</v>
      </c>
      <c r="E145" s="29">
        <f ca="1">C145*INDIRECT("foodbase!d145")</f>
        <v>0</v>
      </c>
      <c r="F145" s="29">
        <f ca="1">C145*INDIRECT("foodbase!e145")</f>
        <v>0</v>
      </c>
      <c r="G145" s="29">
        <f ca="1">C145*INDIRECT("foodbase!f145")</f>
        <v>0</v>
      </c>
    </row>
    <row r="146" spans="2:7" ht="12.75">
      <c r="B146" s="108" t="str">
        <f ca="1">INDIRECT("foodbase!a146")</f>
        <v>Broccoli - Cooked, raw, spears</v>
      </c>
      <c r="C146" s="76"/>
      <c r="D146" s="29">
        <f ca="1">C146*INDIRECT("foodbase!c146")</f>
        <v>0</v>
      </c>
      <c r="E146" s="29">
        <f ca="1">C146*INDIRECT("foodbase!d146")</f>
        <v>0</v>
      </c>
      <c r="F146" s="29">
        <f ca="1">C146*INDIRECT("foodbase!e146")</f>
        <v>0</v>
      </c>
      <c r="G146" s="29">
        <f ca="1">C146*INDIRECT("foodbase!f146")</f>
        <v>0</v>
      </c>
    </row>
    <row r="147" spans="2:7" ht="12.75">
      <c r="B147" s="108" t="str">
        <f ca="1">INDIRECT("foodbase!a147")</f>
        <v>Brussel sprouts cooked raw</v>
      </c>
      <c r="C147" s="76"/>
      <c r="D147" s="29">
        <f ca="1">C147*INDIRECT("foodbase!c147")</f>
        <v>0</v>
      </c>
      <c r="E147" s="29">
        <f ca="1">C147*INDIRECT("foodbase!d147")</f>
        <v>0</v>
      </c>
      <c r="F147" s="29">
        <f ca="1">C147*INDIRECT("foodbase!e147")</f>
        <v>0</v>
      </c>
      <c r="G147" s="29">
        <f ca="1">C147*INDIRECT("foodbase!f147")</f>
        <v>0</v>
      </c>
    </row>
    <row r="148" spans="2:7" ht="12.75">
      <c r="B148" s="108" t="str">
        <f ca="1">INDIRECT("foodbase!a148")</f>
        <v>Burrito, beef and bean</v>
      </c>
      <c r="C148" s="76"/>
      <c r="D148" s="29">
        <f ca="1">C148*INDIRECT("foodbase!c148")</f>
        <v>0</v>
      </c>
      <c r="E148" s="29">
        <f ca="1">C148*INDIRECT("foodbase!d148")</f>
        <v>0</v>
      </c>
      <c r="F148" s="29">
        <f ca="1">C148*INDIRECT("foodbase!e148")</f>
        <v>0</v>
      </c>
      <c r="G148" s="29">
        <f ca="1">C148*INDIRECT("foodbase!f148")</f>
        <v>0</v>
      </c>
    </row>
    <row r="149" spans="2:7" ht="12.75">
      <c r="B149" s="108" t="str">
        <f ca="1">INDIRECT("foodbase!a149")</f>
        <v>Butter - Stick</v>
      </c>
      <c r="C149" s="76"/>
      <c r="D149" s="29">
        <f ca="1">C149*INDIRECT("foodbase!c149")</f>
        <v>0</v>
      </c>
      <c r="E149" s="29">
        <f ca="1">C149*INDIRECT("foodbase!d149")</f>
        <v>0</v>
      </c>
      <c r="F149" s="29">
        <f ca="1">C149*INDIRECT("foodbase!e149")</f>
        <v>0</v>
      </c>
      <c r="G149" s="29">
        <f ca="1">C149*INDIRECT("foodbase!f149")</f>
        <v>0</v>
      </c>
    </row>
    <row r="150" spans="2:7" ht="12.75">
      <c r="B150" s="108" t="str">
        <f ca="1">INDIRECT("foodbase!a150")</f>
        <v>Buttermilk</v>
      </c>
      <c r="C150" s="76"/>
      <c r="D150" s="29">
        <f ca="1">C150*INDIRECT("foodbase!c150")</f>
        <v>0</v>
      </c>
      <c r="E150" s="29">
        <f ca="1">C150*INDIRECT("foodbase!d150")</f>
        <v>0</v>
      </c>
      <c r="F150" s="29">
        <f ca="1">C150*INDIRECT("foodbase!e150")</f>
        <v>0</v>
      </c>
      <c r="G150" s="29">
        <f ca="1">C150*INDIRECT("foodbase!f150")</f>
        <v>0</v>
      </c>
    </row>
    <row r="151" spans="2:7" ht="12.75">
      <c r="B151" s="108" t="str">
        <f ca="1">INDIRECT("foodbase!a151")</f>
        <v>Canadian style Bacon</v>
      </c>
      <c r="C151" s="76"/>
      <c r="D151" s="29">
        <f ca="1">C151*INDIRECT("foodbase!c151")</f>
        <v>0</v>
      </c>
      <c r="E151" s="29">
        <f ca="1">C151*INDIRECT("foodbase!d151")</f>
        <v>0</v>
      </c>
      <c r="F151" s="29">
        <f ca="1">C151*INDIRECT("foodbase!e151")</f>
        <v>0</v>
      </c>
      <c r="G151" s="29">
        <f ca="1">C151*INDIRECT("foodbase!f151")</f>
        <v>0</v>
      </c>
    </row>
    <row r="152" spans="2:7" ht="12.75">
      <c r="B152" s="108" t="str">
        <f ca="1">INDIRECT("foodbase!a152")</f>
        <v>Cantaloupe</v>
      </c>
      <c r="C152" s="76"/>
      <c r="D152" s="29">
        <f ca="1">C152*INDIRECT("foodbase!c152")</f>
        <v>0</v>
      </c>
      <c r="E152" s="29">
        <f ca="1">C152*INDIRECT("foodbase!d152")</f>
        <v>0</v>
      </c>
      <c r="F152" s="29">
        <f ca="1">C152*INDIRECT("foodbase!e152")</f>
        <v>0</v>
      </c>
      <c r="G152" s="29">
        <f ca="1">C152*INDIRECT("foodbase!f152")</f>
        <v>0</v>
      </c>
    </row>
    <row r="153" spans="2:7" ht="12.75">
      <c r="B153" s="108" t="str">
        <f ca="1">INDIRECT("foodbase!a153")</f>
        <v>Carbonated Cola (12 fl oz)</v>
      </c>
      <c r="C153" s="76"/>
      <c r="D153" s="29">
        <f ca="1">C153*INDIRECT("foodbase!c153")</f>
        <v>0</v>
      </c>
      <c r="E153" s="29">
        <f ca="1">C153*INDIRECT("foodbase!d153")</f>
        <v>0</v>
      </c>
      <c r="F153" s="29">
        <f ca="1">C153*INDIRECT("foodbase!e153")</f>
        <v>0</v>
      </c>
      <c r="G153" s="29">
        <f ca="1">C153*INDIRECT("foodbase!f153")</f>
        <v>0</v>
      </c>
    </row>
    <row r="154" spans="2:7" ht="12.75">
      <c r="B154" s="108" t="str">
        <f ca="1">INDIRECT("foodbase!a154")</f>
        <v>Carbonated Diet Cola (12 fl oz)</v>
      </c>
      <c r="C154" s="76"/>
      <c r="D154" s="29">
        <f ca="1">C154*INDIRECT("foodbase!c154")</f>
        <v>0</v>
      </c>
      <c r="E154" s="29">
        <f ca="1">C154*INDIRECT("foodbase!d154")</f>
        <v>0</v>
      </c>
      <c r="F154" s="29">
        <f ca="1">C154*INDIRECT("foodbase!e154")</f>
        <v>0</v>
      </c>
      <c r="G154" s="29">
        <f ca="1">C154*INDIRECT("foodbase!f154")</f>
        <v>0</v>
      </c>
    </row>
    <row r="155" spans="2:7" ht="12.75">
      <c r="B155" s="108" t="str">
        <f ca="1">INDIRECT("foodbase!a155")</f>
        <v>Carrot cake, cream cheese</v>
      </c>
      <c r="C155" s="76"/>
      <c r="D155" s="29">
        <f ca="1">C155*INDIRECT("foodbase!c155")</f>
        <v>0</v>
      </c>
      <c r="E155" s="29">
        <f ca="1">C155*INDIRECT("foodbase!d155")</f>
        <v>0</v>
      </c>
      <c r="F155" s="29">
        <f ca="1">C155*INDIRECT("foodbase!e155")</f>
        <v>0</v>
      </c>
      <c r="G155" s="29">
        <f ca="1">C155*INDIRECT("foodbase!f155")</f>
        <v>0</v>
      </c>
    </row>
    <row r="156" spans="2:7" ht="12.75">
      <c r="B156" s="108" t="str">
        <f ca="1">INDIRECT("foodbase!a156")</f>
        <v>Carrot juice</v>
      </c>
      <c r="C156" s="76"/>
      <c r="D156" s="29">
        <f ca="1">C156*INDIRECT("foodbase!c156")</f>
        <v>0</v>
      </c>
      <c r="E156" s="29">
        <f ca="1">C156*INDIRECT("foodbase!d156")</f>
        <v>0</v>
      </c>
      <c r="F156" s="29">
        <f ca="1">C156*INDIRECT("foodbase!e156")</f>
        <v>0</v>
      </c>
      <c r="G156" s="29">
        <f ca="1">C156*INDIRECT("foodbase!f156")</f>
        <v>0</v>
      </c>
    </row>
    <row r="157" spans="2:7" ht="12.75">
      <c r="B157" s="108" t="str">
        <f ca="1">INDIRECT("foodbase!a157")</f>
        <v>Carrots whole raw</v>
      </c>
      <c r="C157" s="76"/>
      <c r="D157" s="29">
        <f ca="1">C157*INDIRECT("foodbase!c157")</f>
        <v>0</v>
      </c>
      <c r="E157" s="29">
        <f ca="1">C157*INDIRECT("foodbase!d157")</f>
        <v>0</v>
      </c>
      <c r="F157" s="29">
        <f ca="1">C157*INDIRECT("foodbase!e157")</f>
        <v>0</v>
      </c>
      <c r="G157" s="29">
        <f ca="1">C157*INDIRECT("foodbase!f157")</f>
        <v>0</v>
      </c>
    </row>
    <row r="158" spans="2:7" ht="12.75">
      <c r="B158" s="108" t="str">
        <f ca="1">INDIRECT("foodbase!a158")</f>
        <v>Cauliflower - Cooked, raw</v>
      </c>
      <c r="C158" s="76"/>
      <c r="D158" s="29">
        <f ca="1">C158*INDIRECT("foodbase!c158")</f>
        <v>0</v>
      </c>
      <c r="E158" s="29">
        <f ca="1">C158*INDIRECT("foodbase!d158")</f>
        <v>0</v>
      </c>
      <c r="F158" s="29">
        <f ca="1">C158*INDIRECT("foodbase!e158")</f>
        <v>0</v>
      </c>
      <c r="G158" s="29">
        <f ca="1">C158*INDIRECT("foodbase!f158")</f>
        <v>0</v>
      </c>
    </row>
    <row r="159" spans="2:7" ht="12.75">
      <c r="B159" s="108" t="str">
        <f ca="1">INDIRECT("foodbase!a159")</f>
        <v>Celery, pascal large stalk</v>
      </c>
      <c r="C159" s="76"/>
      <c r="D159" s="29">
        <f ca="1">C159*INDIRECT("foodbase!c159")</f>
        <v>0</v>
      </c>
      <c r="E159" s="29">
        <f ca="1">C159*INDIRECT("foodbase!d159")</f>
        <v>0</v>
      </c>
      <c r="F159" s="29">
        <f ca="1">C159*INDIRECT("foodbase!e159")</f>
        <v>0</v>
      </c>
      <c r="G159" s="29">
        <f ca="1">C159*INDIRECT("foodbase!f159")</f>
        <v>0</v>
      </c>
    </row>
    <row r="160" spans="2:7" ht="12.75">
      <c r="B160" s="108" t="str">
        <f ca="1">INDIRECT("foodbase!a160")</f>
        <v>Cheese - Blue</v>
      </c>
      <c r="C160" s="76"/>
      <c r="D160" s="29">
        <f ca="1">C160*INDIRECT("foodbase!c160")</f>
        <v>0</v>
      </c>
      <c r="E160" s="29">
        <f ca="1">C160*INDIRECT("foodbase!d160")</f>
        <v>0</v>
      </c>
      <c r="F160" s="29">
        <f ca="1">C160*INDIRECT("foodbase!e160")</f>
        <v>0</v>
      </c>
      <c r="G160" s="29">
        <f ca="1">C160*INDIRECT("foodbase!f160")</f>
        <v>0</v>
      </c>
    </row>
    <row r="161" spans="2:7" ht="12.75">
      <c r="B161" s="108" t="str">
        <f ca="1">INDIRECT("foodbase!a161")</f>
        <v>Cheese - Cheddar cut pieces</v>
      </c>
      <c r="C161" s="76"/>
      <c r="D161" s="29">
        <f ca="1">C161*INDIRECT("foodbase!c161")</f>
        <v>0</v>
      </c>
      <c r="E161" s="29">
        <f ca="1">C161*INDIRECT("foodbase!d161")</f>
        <v>0</v>
      </c>
      <c r="F161" s="29">
        <f ca="1">C161*INDIRECT("foodbase!e161")</f>
        <v>0</v>
      </c>
      <c r="G161" s="29">
        <f ca="1">C161*INDIRECT("foodbase!f161")</f>
        <v>0</v>
      </c>
    </row>
    <row r="162" spans="2:7" ht="12.75">
      <c r="B162" s="108" t="str">
        <f ca="1">INDIRECT("foodbase!a162")</f>
        <v>Cheese - Cream</v>
      </c>
      <c r="C162" s="76"/>
      <c r="D162" s="29">
        <f ca="1">C162*INDIRECT("foodbase!c162")</f>
        <v>0</v>
      </c>
      <c r="E162" s="29">
        <f ca="1">C162*INDIRECT("foodbase!d162")</f>
        <v>0</v>
      </c>
      <c r="F162" s="29">
        <f ca="1">C162*INDIRECT("foodbase!e162")</f>
        <v>0</v>
      </c>
      <c r="G162" s="29">
        <f ca="1">C162*INDIRECT("foodbase!f162")</f>
        <v>0</v>
      </c>
    </row>
    <row r="163" spans="2:7" ht="12.75">
      <c r="B163" s="108" t="str">
        <f ca="1">INDIRECT("foodbase!a163")</f>
        <v>Cheese - Monterey Jack</v>
      </c>
      <c r="C163" s="76"/>
      <c r="D163" s="29">
        <f ca="1">C163*INDIRECT("foodbase!c163")</f>
        <v>0</v>
      </c>
      <c r="E163" s="29">
        <f ca="1">C163*INDIRECT("foodbase!d163")</f>
        <v>0</v>
      </c>
      <c r="F163" s="29">
        <f ca="1">C163*INDIRECT("foodbase!e163")</f>
        <v>0</v>
      </c>
      <c r="G163" s="29">
        <f ca="1">C163*INDIRECT("foodbase!f163")</f>
        <v>0</v>
      </c>
    </row>
    <row r="164" spans="2:7" ht="12.75">
      <c r="B164" s="108" t="str">
        <f ca="1">INDIRECT("foodbase!a164")</f>
        <v>Cheese - Swiss</v>
      </c>
      <c r="C164" s="76"/>
      <c r="D164" s="29">
        <f ca="1">C164*INDIRECT("foodbase!c164")</f>
        <v>0</v>
      </c>
      <c r="E164" s="29">
        <f ca="1">C164*INDIRECT("foodbase!d164")</f>
        <v>0</v>
      </c>
      <c r="F164" s="29">
        <f ca="1">C164*INDIRECT("foodbase!e164")</f>
        <v>0</v>
      </c>
      <c r="G164" s="29">
        <f ca="1">C164*INDIRECT("foodbase!f164")</f>
        <v>0</v>
      </c>
    </row>
    <row r="165" spans="2:7" ht="12.75">
      <c r="B165" s="108" t="str">
        <f ca="1">INDIRECT("foodbase!a165")</f>
        <v>Cheese crackers</v>
      </c>
      <c r="C165" s="76"/>
      <c r="D165" s="29">
        <f ca="1">C165*INDIRECT("foodbase!c165")</f>
        <v>0</v>
      </c>
      <c r="E165" s="29">
        <f ca="1">C165*INDIRECT("foodbase!d165")</f>
        <v>0</v>
      </c>
      <c r="F165" s="29">
        <f ca="1">C165*INDIRECT("foodbase!e165")</f>
        <v>0</v>
      </c>
      <c r="G165" s="29">
        <f ca="1">C165*INDIRECT("foodbase!f165")</f>
        <v>0</v>
      </c>
    </row>
    <row r="166" spans="2:7" ht="12.75">
      <c r="B166" s="108" t="str">
        <f ca="1">INDIRECT("foodbase!a166")</f>
        <v>Cheese Gouda</v>
      </c>
      <c r="C166" s="76"/>
      <c r="D166" s="29">
        <f ca="1">C166*INDIRECT("foodbase!c166")</f>
        <v>0</v>
      </c>
      <c r="E166" s="29">
        <f ca="1">C166*INDIRECT("foodbase!d166")</f>
        <v>0</v>
      </c>
      <c r="F166" s="29">
        <f ca="1">C166*INDIRECT("foodbase!e166")</f>
        <v>0</v>
      </c>
      <c r="G166" s="29">
        <f ca="1">C166*INDIRECT("foodbase!f166")</f>
        <v>0</v>
      </c>
    </row>
    <row r="167" spans="2:7" ht="12.75">
      <c r="B167" s="108" t="str">
        <f ca="1">INDIRECT("foodbase!a167")</f>
        <v>Cheese Mozzarella whole milk</v>
      </c>
      <c r="C167" s="76"/>
      <c r="D167" s="29">
        <f ca="1">C167*INDIRECT("foodbase!c167")</f>
        <v>0</v>
      </c>
      <c r="E167" s="29">
        <f ca="1">C167*INDIRECT("foodbase!d167")</f>
        <v>0</v>
      </c>
      <c r="F167" s="29">
        <f ca="1">C167*INDIRECT("foodbase!e167")</f>
        <v>0</v>
      </c>
      <c r="G167" s="29">
        <f ca="1">C167*INDIRECT("foodbase!f167")</f>
        <v>0</v>
      </c>
    </row>
    <row r="168" spans="2:7" ht="12.75">
      <c r="B168" s="108" t="str">
        <f ca="1">INDIRECT("foodbase!a168")</f>
        <v>Cherries sweet raw without pits</v>
      </c>
      <c r="C168" s="76"/>
      <c r="D168" s="29">
        <f ca="1">C168*INDIRECT("foodbase!c168")</f>
        <v>0</v>
      </c>
      <c r="E168" s="29">
        <f ca="1">C168*INDIRECT("foodbase!d168")</f>
        <v>0</v>
      </c>
      <c r="F168" s="29">
        <f ca="1">C168*INDIRECT("foodbase!e168")</f>
        <v>0</v>
      </c>
      <c r="G168" s="29">
        <f ca="1">C168*INDIRECT("foodbase!f168")</f>
        <v>0</v>
      </c>
    </row>
    <row r="169" spans="2:7" ht="12.75">
      <c r="B169" s="108" t="str">
        <f ca="1">INDIRECT("foodbase!a169")</f>
        <v>Chicken - Roasted whole</v>
      </c>
      <c r="C169" s="76"/>
      <c r="D169" s="29">
        <f ca="1">C169*INDIRECT("foodbase!c169")</f>
        <v>0</v>
      </c>
      <c r="E169" s="29">
        <f ca="1">C169*INDIRECT("foodbase!d169")</f>
        <v>0</v>
      </c>
      <c r="F169" s="29">
        <f ca="1">C169*INDIRECT("foodbase!e169")</f>
        <v>0</v>
      </c>
      <c r="G169" s="29">
        <f ca="1">C169*INDIRECT("foodbase!f169")</f>
        <v>0</v>
      </c>
    </row>
    <row r="170" spans="2:7" ht="12.75">
      <c r="B170" s="108" t="str">
        <f ca="1">INDIRECT("foodbase!a170")</f>
        <v>Chicken breast fried w/batter</v>
      </c>
      <c r="C170" s="76"/>
      <c r="D170" s="29">
        <f ca="1">C170*INDIRECT("foodbase!c170")</f>
        <v>0</v>
      </c>
      <c r="E170" s="29">
        <f ca="1">C170*INDIRECT("foodbase!d170")</f>
        <v>0</v>
      </c>
      <c r="F170" s="29">
        <f ca="1">C170*INDIRECT("foodbase!e170")</f>
        <v>0</v>
      </c>
      <c r="G170" s="29">
        <f ca="1">C170*INDIRECT("foodbase!f170")</f>
        <v>0</v>
      </c>
    </row>
    <row r="171" spans="2:7" ht="12.75">
      <c r="B171" s="108" t="str">
        <f ca="1">INDIRECT("foodbase!a171")</f>
        <v>Chili powder</v>
      </c>
      <c r="C171" s="76"/>
      <c r="D171" s="29">
        <f ca="1">C171*INDIRECT("foodbase!c171")</f>
        <v>0</v>
      </c>
      <c r="E171" s="29">
        <f ca="1">C171*INDIRECT("foodbase!d171")</f>
        <v>0</v>
      </c>
      <c r="F171" s="29">
        <f ca="1">C171*INDIRECT("foodbase!e171")</f>
        <v>0</v>
      </c>
      <c r="G171" s="29">
        <f ca="1">C171*INDIRECT("foodbase!f171")</f>
        <v>0</v>
      </c>
    </row>
    <row r="172" spans="2:7" ht="12.75">
      <c r="B172" s="108" t="str">
        <f ca="1">INDIRECT("foodbase!a172")</f>
        <v>Chocolate Chip cookies commercial</v>
      </c>
      <c r="C172" s="76"/>
      <c r="D172" s="29">
        <f ca="1">C172*INDIRECT("foodbase!c172")</f>
        <v>0</v>
      </c>
      <c r="E172" s="29">
        <f ca="1">C172*INDIRECT("foodbase!d172")</f>
        <v>0</v>
      </c>
      <c r="F172" s="29">
        <f ca="1">C172*INDIRECT("foodbase!e172")</f>
        <v>0</v>
      </c>
      <c r="G172" s="29">
        <f ca="1">C172*INDIRECT("foodbase!f172")</f>
        <v>0</v>
      </c>
    </row>
    <row r="173" spans="2:7" ht="12.75">
      <c r="B173" s="108" t="str">
        <f ca="1">INDIRECT("foodbase!a173")</f>
        <v>Clams - raw</v>
      </c>
      <c r="C173" s="76"/>
      <c r="D173" s="29">
        <f ca="1">C173*INDIRECT("foodbase!c173")</f>
        <v>0</v>
      </c>
      <c r="E173" s="29">
        <f ca="1">C173*INDIRECT("foodbase!d173")</f>
        <v>0</v>
      </c>
      <c r="F173" s="29">
        <f ca="1">C173*INDIRECT("foodbase!e173")</f>
        <v>0</v>
      </c>
      <c r="G173" s="29">
        <f ca="1">C173*INDIRECT("foodbase!f173")</f>
        <v>0</v>
      </c>
    </row>
    <row r="174" spans="2:7" ht="12.75">
      <c r="B174" s="108" t="str">
        <f ca="1">INDIRECT("foodbase!a174")</f>
        <v>Coffee Brewed</v>
      </c>
      <c r="C174" s="76"/>
      <c r="D174" s="29">
        <f ca="1">C174*INDIRECT("foodbase!c174")</f>
        <v>0</v>
      </c>
      <c r="E174" s="29">
        <f ca="1">C174*INDIRECT("foodbase!d174")</f>
        <v>0</v>
      </c>
      <c r="F174" s="29">
        <f ca="1">C174*INDIRECT("foodbase!e174")</f>
        <v>0</v>
      </c>
      <c r="G174" s="29">
        <f ca="1">C174*INDIRECT("foodbase!f174")</f>
        <v>0</v>
      </c>
    </row>
    <row r="175" spans="2:7" ht="12.75">
      <c r="B175" s="108" t="str">
        <f ca="1">INDIRECT("foodbase!a175")</f>
        <v>Coffee Instant</v>
      </c>
      <c r="C175" s="76"/>
      <c r="D175" s="29">
        <f ca="1">C175*INDIRECT("foodbase!c175")</f>
        <v>0</v>
      </c>
      <c r="E175" s="29">
        <f ca="1">C175*INDIRECT("foodbase!d175")</f>
        <v>0</v>
      </c>
      <c r="F175" s="29">
        <f ca="1">C175*INDIRECT("foodbase!e175")</f>
        <v>0</v>
      </c>
      <c r="G175" s="29">
        <f ca="1">C175*INDIRECT("foodbase!f175")</f>
        <v>0</v>
      </c>
    </row>
    <row r="176" spans="2:7" ht="12.75">
      <c r="B176" s="108" t="str">
        <f ca="1">INDIRECT("foodbase!a176")</f>
        <v>Cole slaw</v>
      </c>
      <c r="C176" s="76"/>
      <c r="D176" s="29">
        <f ca="1">C176*INDIRECT("foodbase!c176")</f>
        <v>0</v>
      </c>
      <c r="E176" s="29">
        <f ca="1">C176*INDIRECT("foodbase!d176")</f>
        <v>0</v>
      </c>
      <c r="F176" s="29">
        <f ca="1">C176*INDIRECT("foodbase!e176")</f>
        <v>0</v>
      </c>
      <c r="G176" s="29">
        <f ca="1">C176*INDIRECT("foodbase!f176")</f>
        <v>0</v>
      </c>
    </row>
    <row r="177" spans="2:7" ht="12.75">
      <c r="B177" s="108" t="str">
        <f ca="1">INDIRECT("foodbase!a177")</f>
        <v>Corn Chips</v>
      </c>
      <c r="C177" s="76"/>
      <c r="D177" s="29">
        <f ca="1">C177*INDIRECT("foodbase!c177")</f>
        <v>0</v>
      </c>
      <c r="E177" s="29">
        <f ca="1">C177*INDIRECT("foodbase!d177")</f>
        <v>0</v>
      </c>
      <c r="F177" s="29">
        <f ca="1">C177*INDIRECT("foodbase!e177")</f>
        <v>0</v>
      </c>
      <c r="G177" s="29">
        <f ca="1">C177*INDIRECT("foodbase!f177")</f>
        <v>0</v>
      </c>
    </row>
    <row r="178" spans="2:7" ht="12.75">
      <c r="B178" s="108" t="str">
        <f ca="1">INDIRECT("foodbase!a178")</f>
        <v>Corn cooked raw on cob</v>
      </c>
      <c r="C178" s="76"/>
      <c r="D178" s="29">
        <f ca="1">C178*INDIRECT("foodbase!c178")</f>
        <v>0</v>
      </c>
      <c r="E178" s="29">
        <f ca="1">C178*INDIRECT("foodbase!d178")</f>
        <v>0</v>
      </c>
      <c r="F178" s="29">
        <f ca="1">C178*INDIRECT("foodbase!e178")</f>
        <v>0</v>
      </c>
      <c r="G178" s="29">
        <f ca="1">C178*INDIRECT("foodbase!f178")</f>
        <v>0</v>
      </c>
    </row>
    <row r="179" spans="2:7" ht="12.75">
      <c r="B179" s="108" t="str">
        <f ca="1">INDIRECT("foodbase!a179")</f>
        <v>Corn dog</v>
      </c>
      <c r="C179" s="76"/>
      <c r="D179" s="29">
        <f ca="1">C179*INDIRECT("foodbase!c179")</f>
        <v>0</v>
      </c>
      <c r="E179" s="29">
        <f ca="1">C179*INDIRECT("foodbase!d179")</f>
        <v>0</v>
      </c>
      <c r="F179" s="29">
        <f ca="1">C179*INDIRECT("foodbase!e179")</f>
        <v>0</v>
      </c>
      <c r="G179" s="29">
        <f ca="1">C179*INDIRECT("foodbase!f179")</f>
        <v>0</v>
      </c>
    </row>
    <row r="180" spans="2:7" ht="12.75">
      <c r="B180" s="108" t="str">
        <f ca="1">INDIRECT("foodbase!a180")</f>
        <v>Cottage Creamed small curd</v>
      </c>
      <c r="C180" s="76"/>
      <c r="D180" s="29">
        <f ca="1">C180*INDIRECT("foodbase!c180")</f>
        <v>0</v>
      </c>
      <c r="E180" s="29">
        <f ca="1">C180*INDIRECT("foodbase!d180")</f>
        <v>0</v>
      </c>
      <c r="F180" s="29">
        <f ca="1">C180*INDIRECT("foodbase!e180")</f>
        <v>0</v>
      </c>
      <c r="G180" s="29">
        <f ca="1">C180*INDIRECT("foodbase!f180")</f>
        <v>0</v>
      </c>
    </row>
    <row r="181" spans="2:7" ht="12.75">
      <c r="B181" s="108" t="str">
        <f ca="1">INDIRECT("foodbase!a181")</f>
        <v>Cream sour cultured</v>
      </c>
      <c r="C181" s="76"/>
      <c r="D181" s="29">
        <f ca="1">C181*INDIRECT("foodbase!c181")</f>
        <v>0</v>
      </c>
      <c r="E181" s="29">
        <f ca="1">C181*INDIRECT("foodbase!d181")</f>
        <v>0</v>
      </c>
      <c r="F181" s="29">
        <f ca="1">C181*INDIRECT("foodbase!e181")</f>
        <v>0</v>
      </c>
      <c r="G181" s="29">
        <f ca="1">C181*INDIRECT("foodbase!f181")</f>
        <v>0</v>
      </c>
    </row>
    <row r="182" spans="2:7" ht="12.75">
      <c r="B182" s="108" t="str">
        <f ca="1">INDIRECT("foodbase!a182")</f>
        <v>Croissant 4 1/2 x 4 x 1 3/4 in</v>
      </c>
      <c r="C182" s="76"/>
      <c r="D182" s="29">
        <f ca="1">C182*INDIRECT("foodbase!c182")</f>
        <v>0</v>
      </c>
      <c r="E182" s="29">
        <f ca="1">C182*INDIRECT("foodbase!d182")</f>
        <v>0</v>
      </c>
      <c r="F182" s="29">
        <f ca="1">C182*INDIRECT("foodbase!e182")</f>
        <v>0</v>
      </c>
      <c r="G182" s="29">
        <f ca="1">C182*INDIRECT("foodbase!f182")</f>
        <v>0</v>
      </c>
    </row>
    <row r="183" spans="2:7" ht="12.75">
      <c r="B183" s="108" t="str">
        <f ca="1">INDIRECT("foodbase!a183")</f>
        <v>Cucumber with peel</v>
      </c>
      <c r="C183" s="76"/>
      <c r="D183" s="29">
        <f ca="1">C183*INDIRECT("foodbase!c183")</f>
        <v>0</v>
      </c>
      <c r="E183" s="29">
        <f ca="1">C183*INDIRECT("foodbase!d183")</f>
        <v>0</v>
      </c>
      <c r="F183" s="29">
        <f ca="1">C183*INDIRECT("foodbase!e183")</f>
        <v>0</v>
      </c>
      <c r="G183" s="29">
        <f ca="1">C183*INDIRECT("foodbase!f183")</f>
        <v>0</v>
      </c>
    </row>
    <row r="184" spans="2:7" ht="12.75">
      <c r="B184" s="108" t="str">
        <f ca="1">INDIRECT("foodbase!a184")</f>
        <v>Custard baked</v>
      </c>
      <c r="C184" s="76"/>
      <c r="D184" s="29">
        <f ca="1">C184*INDIRECT("foodbase!c184")</f>
        <v>0</v>
      </c>
      <c r="E184" s="29">
        <f ca="1">C184*INDIRECT("foodbase!d184")</f>
        <v>0</v>
      </c>
      <c r="F184" s="29">
        <f ca="1">C184*INDIRECT("foodbase!e184")</f>
        <v>0</v>
      </c>
      <c r="G184" s="29">
        <f ca="1">C184*INDIRECT("foodbase!f184")</f>
        <v>0</v>
      </c>
    </row>
    <row r="185" spans="2:7" ht="12.75">
      <c r="B185" s="108" t="str">
        <f ca="1">INDIRECT("foodbase!a185")</f>
        <v>Dandelion greens (raw)</v>
      </c>
      <c r="C185" s="76"/>
      <c r="D185" s="29">
        <f ca="1">C185*INDIRECT("foodbase!c185")</f>
        <v>0</v>
      </c>
      <c r="E185" s="29">
        <f ca="1">C185*INDIRECT("foodbase!d185")</f>
        <v>0</v>
      </c>
      <c r="F185" s="29">
        <f ca="1">C185*INDIRECT("foodbase!e185")</f>
        <v>0</v>
      </c>
      <c r="G185" s="29">
        <f ca="1">C185*INDIRECT("foodbase!f185")</f>
        <v>0</v>
      </c>
    </row>
    <row r="186" spans="2:7" ht="12.75">
      <c r="B186" s="108" t="str">
        <f ca="1">INDIRECT("foodbase!a186")</f>
        <v>Dates whole without pits</v>
      </c>
      <c r="C186" s="76"/>
      <c r="D186" s="29">
        <f ca="1">C186*INDIRECT("foodbase!c186")</f>
        <v>0</v>
      </c>
      <c r="E186" s="29">
        <f ca="1">C186*INDIRECT("foodbase!d186")</f>
        <v>0</v>
      </c>
      <c r="F186" s="29">
        <f ca="1">C186*INDIRECT("foodbase!e186")</f>
        <v>0</v>
      </c>
      <c r="G186" s="29">
        <f ca="1">C186*INDIRECT("foodbase!f186")</f>
        <v>0</v>
      </c>
    </row>
    <row r="187" spans="2:7" ht="12.75">
      <c r="B187" s="108" t="str">
        <f ca="1">INDIRECT("foodbase!a187")</f>
        <v>Duck meat only roasted</v>
      </c>
      <c r="C187" s="76"/>
      <c r="D187" s="29">
        <f ca="1">C187*INDIRECT("foodbase!c187")</f>
        <v>0</v>
      </c>
      <c r="E187" s="29">
        <f ca="1">C187*INDIRECT("foodbase!d187")</f>
        <v>0</v>
      </c>
      <c r="F187" s="29">
        <f ca="1">C187*INDIRECT("foodbase!e187")</f>
        <v>0</v>
      </c>
      <c r="G187" s="29">
        <f ca="1">C187*INDIRECT("foodbase!f187")</f>
        <v>0</v>
      </c>
    </row>
    <row r="188" spans="2:7" ht="12.75">
      <c r="B188" s="108" t="str">
        <f ca="1">INDIRECT("foodbase!a188")</f>
        <v>Egg Nog commercial</v>
      </c>
      <c r="C188" s="76"/>
      <c r="D188" s="29">
        <f ca="1">C188*INDIRECT("foodbase!c188")</f>
        <v>0</v>
      </c>
      <c r="E188" s="29">
        <f ca="1">C188*INDIRECT("foodbase!d188")</f>
        <v>0</v>
      </c>
      <c r="F188" s="29">
        <f ca="1">C188*INDIRECT("foodbase!e188")</f>
        <v>0</v>
      </c>
      <c r="G188" s="29">
        <f ca="1">C188*INDIRECT("foodbase!f188")</f>
        <v>0</v>
      </c>
    </row>
    <row r="189" spans="2:7" ht="12.75">
      <c r="B189" s="108" t="str">
        <f ca="1">INDIRECT("foodbase!a189")</f>
        <v>Egg noodles, cooked</v>
      </c>
      <c r="C189" s="76"/>
      <c r="D189" s="29">
        <f ca="1">C189*INDIRECT("foodbase!c189")</f>
        <v>0</v>
      </c>
      <c r="E189" s="29">
        <f ca="1">C189*INDIRECT("foodbase!d189")</f>
        <v>0</v>
      </c>
      <c r="F189" s="29">
        <f ca="1">C189*INDIRECT("foodbase!e189")</f>
        <v>0</v>
      </c>
      <c r="G189" s="29">
        <f ca="1">C189*INDIRECT("foodbase!f189")</f>
        <v>0</v>
      </c>
    </row>
    <row r="190" spans="2:7" ht="12.75">
      <c r="B190" s="108" t="str">
        <f ca="1">INDIRECT("foodbase!a190")</f>
        <v>Eggplant cooked</v>
      </c>
      <c r="C190" s="76"/>
      <c r="D190" s="29">
        <f ca="1">C190*INDIRECT("foodbase!c190")</f>
        <v>0</v>
      </c>
      <c r="E190" s="29">
        <f ca="1">C190*INDIRECT("foodbase!d190")</f>
        <v>0</v>
      </c>
      <c r="F190" s="29">
        <f ca="1">C190*INDIRECT("foodbase!e190")</f>
        <v>0</v>
      </c>
      <c r="G190" s="29">
        <f ca="1">C190*INDIRECT("foodbase!f190")</f>
        <v>0</v>
      </c>
    </row>
    <row r="191" spans="2:7" ht="12.75">
      <c r="B191" s="108" t="str">
        <f ca="1">INDIRECT("foodbase!a191")</f>
        <v>Enchilada</v>
      </c>
      <c r="C191" s="76"/>
      <c r="D191" s="29">
        <f ca="1">C191*INDIRECT("foodbase!c191")</f>
        <v>0</v>
      </c>
      <c r="E191" s="29">
        <f ca="1">C191*INDIRECT("foodbase!d191")</f>
        <v>0</v>
      </c>
      <c r="F191" s="29">
        <f ca="1">C191*INDIRECT("foodbase!e191")</f>
        <v>0</v>
      </c>
      <c r="G191" s="29">
        <f ca="1">C191*INDIRECT("foodbase!f191")</f>
        <v>0</v>
      </c>
    </row>
    <row r="192" spans="2:7" ht="12.75">
      <c r="B192" s="108" t="str">
        <f ca="1">INDIRECT("foodbase!a192")</f>
        <v>English muffin, plain</v>
      </c>
      <c r="C192" s="76"/>
      <c r="D192" s="29">
        <f ca="1">C192*INDIRECT("foodbase!c192")</f>
        <v>0</v>
      </c>
      <c r="E192" s="29">
        <f ca="1">C192*INDIRECT("foodbase!d192")</f>
        <v>0</v>
      </c>
      <c r="F192" s="29">
        <f ca="1">C192*INDIRECT("foodbase!e192")</f>
        <v>0</v>
      </c>
      <c r="G192" s="29">
        <f ca="1">C192*INDIRECT("foodbase!f192")</f>
        <v>0</v>
      </c>
    </row>
    <row r="193" spans="2:7" ht="12.75">
      <c r="B193" s="108" t="str">
        <f ca="1">INDIRECT("foodbase!a193")</f>
        <v>English walnuts, chopped</v>
      </c>
      <c r="C193" s="76"/>
      <c r="D193" s="29">
        <f ca="1">C193*INDIRECT("foodbase!c193")</f>
        <v>0</v>
      </c>
      <c r="E193" s="29">
        <f ca="1">C193*INDIRECT("foodbase!d193")</f>
        <v>0</v>
      </c>
      <c r="F193" s="29">
        <f ca="1">C193*INDIRECT("foodbase!e193")</f>
        <v>0</v>
      </c>
      <c r="G193" s="29">
        <f ca="1">C193*INDIRECT("foodbase!f193")</f>
        <v>0</v>
      </c>
    </row>
    <row r="194" spans="2:7" ht="12.75">
      <c r="B194" s="108" t="str">
        <f ca="1">INDIRECT("foodbase!a194")</f>
        <v>Fishsticks</v>
      </c>
      <c r="C194" s="76"/>
      <c r="D194" s="29">
        <f ca="1">C194*INDIRECT("foodbase!c194")</f>
        <v>0</v>
      </c>
      <c r="E194" s="29">
        <f ca="1">C194*INDIRECT("foodbase!d194")</f>
        <v>0</v>
      </c>
      <c r="F194" s="29">
        <f ca="1">C194*INDIRECT("foodbase!e194")</f>
        <v>0</v>
      </c>
      <c r="G194" s="29">
        <f ca="1">C194*INDIRECT("foodbase!f194")</f>
        <v>0</v>
      </c>
    </row>
    <row r="195" spans="2:7" ht="12.75">
      <c r="B195" s="108" t="str">
        <f ca="1">INDIRECT("foodbase!a195")</f>
        <v>Frankfurter, beef and pork</v>
      </c>
      <c r="C195" s="76"/>
      <c r="D195" s="29">
        <f ca="1">C195*INDIRECT("foodbase!c195")</f>
        <v>0</v>
      </c>
      <c r="E195" s="29">
        <f ca="1">C195*INDIRECT("foodbase!d195")</f>
        <v>0</v>
      </c>
      <c r="F195" s="29">
        <f ca="1">C195*INDIRECT("foodbase!e195")</f>
        <v>0</v>
      </c>
      <c r="G195" s="29">
        <f ca="1">C195*INDIRECT("foodbase!f195")</f>
        <v>0</v>
      </c>
    </row>
    <row r="196" spans="2:7" ht="12.75">
      <c r="B196" s="108" t="str">
        <f ca="1">INDIRECT("foodbase!a196")</f>
        <v>Frankfurter, turkey</v>
      </c>
      <c r="C196" s="76"/>
      <c r="D196" s="29">
        <f ca="1">C196*INDIRECT("foodbase!c196")</f>
        <v>0</v>
      </c>
      <c r="E196" s="29">
        <f ca="1">C196*INDIRECT("foodbase!d196")</f>
        <v>0</v>
      </c>
      <c r="F196" s="29">
        <f ca="1">C196*INDIRECT("foodbase!e196")</f>
        <v>0</v>
      </c>
      <c r="G196" s="29">
        <f ca="1">C196*INDIRECT("foodbase!f196")</f>
        <v>0</v>
      </c>
    </row>
    <row r="197" spans="2:7" ht="12.75">
      <c r="B197" s="108" t="str">
        <f ca="1">INDIRECT("foodbase!a197")</f>
        <v>French fries fried in veg oil</v>
      </c>
      <c r="C197" s="76"/>
      <c r="D197" s="29">
        <f ca="1">C197*INDIRECT("foodbase!c197")</f>
        <v>0</v>
      </c>
      <c r="E197" s="29">
        <f ca="1">C197*INDIRECT("foodbase!d197")</f>
        <v>0</v>
      </c>
      <c r="F197" s="29">
        <f ca="1">C197*INDIRECT("foodbase!e197")</f>
        <v>0</v>
      </c>
      <c r="G197" s="29">
        <f ca="1">C197*INDIRECT("foodbase!f197")</f>
        <v>0</v>
      </c>
    </row>
    <row r="198" spans="2:7" ht="12.75">
      <c r="B198" s="108" t="str">
        <f ca="1">INDIRECT("foodbase!a198")</f>
        <v>French fries oven heated</v>
      </c>
      <c r="C198" s="76"/>
      <c r="D198" s="29">
        <f ca="1">C198*INDIRECT("foodbase!c198")</f>
        <v>0</v>
      </c>
      <c r="E198" s="29">
        <f ca="1">C198*INDIRECT("foodbase!d198")</f>
        <v>0</v>
      </c>
      <c r="F198" s="29">
        <f ca="1">C198*INDIRECT("foodbase!e198")</f>
        <v>0</v>
      </c>
      <c r="G198" s="29">
        <f ca="1">C198*INDIRECT("foodbase!f198")</f>
        <v>0</v>
      </c>
    </row>
    <row r="199" spans="2:7" ht="12.75">
      <c r="B199" s="108" t="str">
        <f ca="1">INDIRECT("foodbase!a199")</f>
        <v>Gin, Rum, Vodka, Whiskey 80 proof</v>
      </c>
      <c r="C199" s="76"/>
      <c r="D199" s="29">
        <f ca="1">C199*INDIRECT("foodbase!c199")</f>
        <v>0</v>
      </c>
      <c r="E199" s="29">
        <f ca="1">C199*INDIRECT("foodbase!d199")</f>
        <v>0</v>
      </c>
      <c r="F199" s="29">
        <f ca="1">C199*INDIRECT("foodbase!e199")</f>
        <v>0</v>
      </c>
      <c r="G199" s="29">
        <f ca="1">C199*INDIRECT("foodbase!f199")</f>
        <v>0</v>
      </c>
    </row>
    <row r="200" spans="2:7" ht="12.75">
      <c r="B200" s="108" t="str">
        <f ca="1">INDIRECT("foodbase!a200")</f>
        <v>Gingerbread</v>
      </c>
      <c r="C200" s="76"/>
      <c r="D200" s="29">
        <f ca="1">C200*INDIRECT("foodbase!c200")</f>
        <v>0</v>
      </c>
      <c r="E200" s="29">
        <f ca="1">C200*INDIRECT("foodbase!d200")</f>
        <v>0</v>
      </c>
      <c r="F200" s="29">
        <f ca="1">C200*INDIRECT("foodbase!e200")</f>
        <v>0</v>
      </c>
      <c r="G200" s="29">
        <f ca="1">C200*INDIRECT("foodbase!f200")</f>
        <v>0</v>
      </c>
    </row>
    <row r="201" spans="2:7" ht="12.75">
      <c r="B201" s="108" t="str">
        <f ca="1">INDIRECT("foodbase!a201")</f>
        <v>Graham crackers</v>
      </c>
      <c r="C201" s="76"/>
      <c r="D201" s="29">
        <f ca="1">C201*INDIRECT("foodbase!c201")</f>
        <v>0</v>
      </c>
      <c r="E201" s="29">
        <f ca="1">C201*INDIRECT("foodbase!d201")</f>
        <v>0</v>
      </c>
      <c r="F201" s="29">
        <f ca="1">C201*INDIRECT("foodbase!e201")</f>
        <v>0</v>
      </c>
      <c r="G201" s="29">
        <f ca="1">C201*INDIRECT("foodbase!f201")</f>
        <v>0</v>
      </c>
    </row>
    <row r="202" spans="2:7" ht="12.75">
      <c r="B202" s="108" t="str">
        <f ca="1">INDIRECT("foodbase!a202")</f>
        <v>Grape Drink Canned</v>
      </c>
      <c r="C202" s="76"/>
      <c r="D202" s="29">
        <f ca="1">C202*INDIRECT("foodbase!c202")</f>
        <v>0</v>
      </c>
      <c r="E202" s="29">
        <f ca="1">C202*INDIRECT("foodbase!d202")</f>
        <v>0</v>
      </c>
      <c r="F202" s="29">
        <f ca="1">C202*INDIRECT("foodbase!e202")</f>
        <v>0</v>
      </c>
      <c r="G202" s="29">
        <f ca="1">C202*INDIRECT("foodbase!f202")</f>
        <v>0</v>
      </c>
    </row>
    <row r="203" spans="2:7" ht="12.75">
      <c r="B203" s="108" t="str">
        <f ca="1">INDIRECT("foodbase!a203")</f>
        <v>Grape Nuts cereal</v>
      </c>
      <c r="C203" s="76"/>
      <c r="D203" s="29">
        <f ca="1">C203*INDIRECT("foodbase!c203")</f>
        <v>0</v>
      </c>
      <c r="E203" s="29">
        <f ca="1">C203*INDIRECT("foodbase!d203")</f>
        <v>0</v>
      </c>
      <c r="F203" s="29">
        <f ca="1">C203*INDIRECT("foodbase!e203")</f>
        <v>0</v>
      </c>
      <c r="G203" s="29">
        <f ca="1">C203*INDIRECT("foodbase!f203")</f>
        <v>0</v>
      </c>
    </row>
    <row r="204" spans="2:7" ht="12.75">
      <c r="B204" s="108" t="str">
        <f ca="1">INDIRECT("foodbase!a204")</f>
        <v>Ground beef lean</v>
      </c>
      <c r="C204" s="76"/>
      <c r="D204" s="29">
        <f ca="1">C204*INDIRECT("foodbase!c204")</f>
        <v>0</v>
      </c>
      <c r="E204" s="29">
        <f ca="1">C204*INDIRECT("foodbase!d204")</f>
        <v>0</v>
      </c>
      <c r="F204" s="29">
        <f ca="1">C204*INDIRECT("foodbase!e204")</f>
        <v>0</v>
      </c>
      <c r="G204" s="29">
        <f ca="1">C204*INDIRECT("foodbase!f204")</f>
        <v>0</v>
      </c>
    </row>
    <row r="205" spans="2:7" ht="12.75">
      <c r="B205" s="108" t="str">
        <f ca="1">INDIRECT("foodbase!a205")</f>
        <v>Ground beef regular</v>
      </c>
      <c r="C205" s="76"/>
      <c r="D205" s="29">
        <f ca="1">C205*INDIRECT("foodbase!c205")</f>
        <v>0</v>
      </c>
      <c r="E205" s="29">
        <f ca="1">C205*INDIRECT("foodbase!d205")</f>
        <v>0</v>
      </c>
      <c r="F205" s="29">
        <f ca="1">C205*INDIRECT("foodbase!e205")</f>
        <v>0</v>
      </c>
      <c r="G205" s="29">
        <f ca="1">C205*INDIRECT("foodbase!f205")</f>
        <v>0</v>
      </c>
    </row>
    <row r="206" spans="2:7" ht="12.75">
      <c r="B206" s="108" t="str">
        <f ca="1">INDIRECT("foodbase!a206")</f>
        <v>Ham luncheon meat canned</v>
      </c>
      <c r="C206" s="76"/>
      <c r="D206" s="29">
        <f ca="1">C206*INDIRECT("foodbase!c206")</f>
        <v>0</v>
      </c>
      <c r="E206" s="29">
        <f ca="1">C206*INDIRECT("foodbase!d206")</f>
        <v>0</v>
      </c>
      <c r="F206" s="29">
        <f ca="1">C206*INDIRECT("foodbase!e206")</f>
        <v>0</v>
      </c>
      <c r="G206" s="29">
        <f ca="1">C206*INDIRECT("foodbase!f206")</f>
        <v>0</v>
      </c>
    </row>
    <row r="207" spans="2:7" ht="12.75">
      <c r="B207" s="108" t="str">
        <f ca="1">INDIRECT("foodbase!a207")</f>
        <v>Honeydew</v>
      </c>
      <c r="C207" s="76"/>
      <c r="D207" s="29">
        <f ca="1">C207*INDIRECT("foodbase!c207")</f>
        <v>0</v>
      </c>
      <c r="E207" s="29">
        <f ca="1">C207*INDIRECT("foodbase!d207")</f>
        <v>0</v>
      </c>
      <c r="F207" s="29">
        <f ca="1">C207*INDIRECT("foodbase!e207")</f>
        <v>0</v>
      </c>
      <c r="G207" s="29">
        <f ca="1">C207*INDIRECT("foodbase!f207")</f>
        <v>0</v>
      </c>
    </row>
    <row r="208" spans="2:7" ht="12.75">
      <c r="B208" s="108" t="str">
        <f ca="1">INDIRECT("foodbase!a208")</f>
        <v>Ice Cream Vanilla </v>
      </c>
      <c r="C208" s="76"/>
      <c r="D208" s="29">
        <f ca="1">C208*INDIRECT("foodbase!c208")</f>
        <v>0</v>
      </c>
      <c r="E208" s="29">
        <f ca="1">C208*INDIRECT("foodbase!d208")</f>
        <v>0</v>
      </c>
      <c r="F208" s="29">
        <f ca="1">C208*INDIRECT("foodbase!e208")</f>
        <v>0</v>
      </c>
      <c r="G208" s="29">
        <f ca="1">C208*INDIRECT("foodbase!f208")</f>
        <v>0</v>
      </c>
    </row>
    <row r="209" spans="2:7" ht="12.75">
      <c r="B209" s="108" t="str">
        <f ca="1">INDIRECT("foodbase!a209")</f>
        <v>Ice Milk Vanilla </v>
      </c>
      <c r="C209" s="76"/>
      <c r="D209" s="29">
        <f ca="1">C209*INDIRECT("foodbase!c209")</f>
        <v>0</v>
      </c>
      <c r="E209" s="29">
        <f ca="1">C209*INDIRECT("foodbase!d209")</f>
        <v>0</v>
      </c>
      <c r="F209" s="29">
        <f ca="1">C209*INDIRECT("foodbase!e209")</f>
        <v>0</v>
      </c>
      <c r="G209" s="29">
        <f ca="1">C209*INDIRECT("foodbase!f209")</f>
        <v>0</v>
      </c>
    </row>
    <row r="210" spans="2:7" ht="12.75">
      <c r="B210" s="108" t="str">
        <f ca="1">INDIRECT("foodbase!a210")</f>
        <v>Kefir</v>
      </c>
      <c r="C210" s="76"/>
      <c r="D210" s="29">
        <f ca="1">C210*INDIRECT("foodbase!c210")</f>
        <v>0</v>
      </c>
      <c r="E210" s="29">
        <f ca="1">C210*INDIRECT("foodbase!d210")</f>
        <v>0</v>
      </c>
      <c r="F210" s="29">
        <f ca="1">C210*INDIRECT("foodbase!e210")</f>
        <v>0</v>
      </c>
      <c r="G210" s="29">
        <f ca="1">C210*INDIRECT("foodbase!f210")</f>
        <v>0</v>
      </c>
    </row>
    <row r="211" spans="2:7" ht="12.75">
      <c r="B211" s="108" t="str">
        <f ca="1">INDIRECT("foodbase!a211")</f>
        <v>Lamb - Chops lean and fat</v>
      </c>
      <c r="C211" s="76"/>
      <c r="D211" s="29">
        <f ca="1">C211*INDIRECT("foodbase!c211")</f>
        <v>0</v>
      </c>
      <c r="E211" s="29">
        <f ca="1">C211*INDIRECT("foodbase!d211")</f>
        <v>0</v>
      </c>
      <c r="F211" s="29">
        <f ca="1">C211*INDIRECT("foodbase!e211")</f>
        <v>0</v>
      </c>
      <c r="G211" s="29">
        <f ca="1">C211*INDIRECT("foodbase!f211")</f>
        <v>0</v>
      </c>
    </row>
    <row r="212" spans="2:7" ht="12.75">
      <c r="B212" s="108" t="str">
        <f ca="1">INDIRECT("foodbase!a212")</f>
        <v>Lamb leg roasted lean and fat</v>
      </c>
      <c r="C212" s="76"/>
      <c r="D212" s="29">
        <f ca="1">C212*INDIRECT("foodbase!c212")</f>
        <v>0</v>
      </c>
      <c r="E212" s="29">
        <f ca="1">C212*INDIRECT("foodbase!d212")</f>
        <v>0</v>
      </c>
      <c r="F212" s="29">
        <f ca="1">C212*INDIRECT("foodbase!e212")</f>
        <v>0</v>
      </c>
      <c r="G212" s="29">
        <f ca="1">C212*INDIRECT("foodbase!f212")</f>
        <v>0</v>
      </c>
    </row>
    <row r="213" spans="2:7" ht="12.75">
      <c r="B213" s="108" t="str">
        <f ca="1">INDIRECT("foodbase!a213")</f>
        <v>Lard</v>
      </c>
      <c r="C213" s="76"/>
      <c r="D213" s="29">
        <f ca="1">C213*INDIRECT("foodbase!c213")</f>
        <v>0</v>
      </c>
      <c r="E213" s="29">
        <f ca="1">C213*INDIRECT("foodbase!d213")</f>
        <v>0</v>
      </c>
      <c r="F213" s="29">
        <f ca="1">C213*INDIRECT("foodbase!e213")</f>
        <v>0</v>
      </c>
      <c r="G213" s="29">
        <f ca="1">C213*INDIRECT("foodbase!f213")</f>
        <v>0</v>
      </c>
    </row>
    <row r="214" spans="2:7" ht="12.75">
      <c r="B214" s="108" t="str">
        <f ca="1">INDIRECT("foodbase!a214")</f>
        <v>Lemonade concentrate</v>
      </c>
      <c r="C214" s="76"/>
      <c r="D214" s="29">
        <f ca="1">C214*INDIRECT("foodbase!c214")</f>
        <v>0</v>
      </c>
      <c r="E214" s="29">
        <f ca="1">C214*INDIRECT("foodbase!d214")</f>
        <v>0</v>
      </c>
      <c r="F214" s="29">
        <f ca="1">C214*INDIRECT("foodbase!e214")</f>
        <v>0</v>
      </c>
      <c r="G214" s="29">
        <f ca="1">C214*INDIRECT("foodbase!f214")</f>
        <v>0</v>
      </c>
    </row>
    <row r="215" spans="2:7" ht="12.75">
      <c r="B215" s="108" t="str">
        <f ca="1">INDIRECT("foodbase!a215")</f>
        <v>Lettuce Butterhead/Boston</v>
      </c>
      <c r="C215" s="76"/>
      <c r="D215" s="29">
        <f ca="1">C215*INDIRECT("foodbase!c215")</f>
        <v>0</v>
      </c>
      <c r="E215" s="29">
        <f ca="1">C215*INDIRECT("foodbase!d215")</f>
        <v>0</v>
      </c>
      <c r="F215" s="29">
        <f ca="1">C215*INDIRECT("foodbase!e215")</f>
        <v>0</v>
      </c>
      <c r="G215" s="29">
        <f ca="1">C215*INDIRECT("foodbase!f215")</f>
        <v>0</v>
      </c>
    </row>
    <row r="216" spans="2:7" ht="12.75">
      <c r="B216" s="108" t="str">
        <f ca="1">INDIRECT("foodbase!a216")</f>
        <v>Lima Beans, thick seeded</v>
      </c>
      <c r="C216" s="76"/>
      <c r="D216" s="29">
        <f ca="1">C216*INDIRECT("foodbase!c216")</f>
        <v>0</v>
      </c>
      <c r="E216" s="29">
        <f ca="1">C216*INDIRECT("foodbase!d216")</f>
        <v>0</v>
      </c>
      <c r="F216" s="29">
        <f ca="1">C216*INDIRECT("foodbase!e216")</f>
        <v>0</v>
      </c>
      <c r="G216" s="29">
        <f ca="1">C216*INDIRECT("foodbase!f216")</f>
        <v>0</v>
      </c>
    </row>
    <row r="217" spans="2:7" ht="12.75">
      <c r="B217" s="108" t="str">
        <f ca="1">INDIRECT("foodbase!a217")</f>
        <v>Lucky Charms cereal</v>
      </c>
      <c r="C217" s="76"/>
      <c r="D217" s="29">
        <f ca="1">C217*INDIRECT("foodbase!c217")</f>
        <v>0</v>
      </c>
      <c r="E217" s="29">
        <f ca="1">C217*INDIRECT("foodbase!d217")</f>
        <v>0</v>
      </c>
      <c r="F217" s="29">
        <f ca="1">C217*INDIRECT("foodbase!e217")</f>
        <v>0</v>
      </c>
      <c r="G217" s="29">
        <f ca="1">C217*INDIRECT("foodbase!f217")</f>
        <v>0</v>
      </c>
    </row>
    <row r="218" spans="2:7" ht="12.75">
      <c r="B218" s="108" t="str">
        <f ca="1">INDIRECT("foodbase!a218")</f>
        <v>Macaroni, cooked firm stage hot</v>
      </c>
      <c r="C218" s="76"/>
      <c r="D218" s="29">
        <f ca="1">C218*INDIRECT("foodbase!c218")</f>
        <v>0</v>
      </c>
      <c r="E218" s="29">
        <f ca="1">C218*INDIRECT("foodbase!d218")</f>
        <v>0</v>
      </c>
      <c r="F218" s="29">
        <f ca="1">C218*INDIRECT("foodbase!e218")</f>
        <v>0</v>
      </c>
      <c r="G218" s="29">
        <f ca="1">C218*INDIRECT("foodbase!f218")</f>
        <v>0</v>
      </c>
    </row>
    <row r="219" spans="2:7" ht="12.75">
      <c r="B219" s="108" t="str">
        <f ca="1">INDIRECT("foodbase!a219")</f>
        <v>Mango raw edible part</v>
      </c>
      <c r="C219" s="76"/>
      <c r="D219" s="29">
        <f ca="1">C219*INDIRECT("foodbase!c219")</f>
        <v>0</v>
      </c>
      <c r="E219" s="29">
        <f ca="1">C219*INDIRECT("foodbase!d219")</f>
        <v>0</v>
      </c>
      <c r="F219" s="29">
        <f ca="1">C219*INDIRECT("foodbase!e219")</f>
        <v>0</v>
      </c>
      <c r="G219" s="29">
        <f ca="1">C219*INDIRECT("foodbase!f219")</f>
        <v>0</v>
      </c>
    </row>
    <row r="220" spans="2:7" ht="12.75">
      <c r="B220" s="108" t="str">
        <f ca="1">INDIRECT("foodbase!a220")</f>
        <v>Margarine - Regular, hard</v>
      </c>
      <c r="C220" s="76"/>
      <c r="D220" s="29">
        <f ca="1">C220*INDIRECT("foodbase!c220")</f>
        <v>0</v>
      </c>
      <c r="E220" s="29">
        <f ca="1">C220*INDIRECT("foodbase!d220")</f>
        <v>0</v>
      </c>
      <c r="F220" s="29">
        <f ca="1">C220*INDIRECT("foodbase!e220")</f>
        <v>0</v>
      </c>
      <c r="G220" s="29">
        <f ca="1">C220*INDIRECT("foodbase!f220")</f>
        <v>0</v>
      </c>
    </row>
    <row r="221" spans="2:7" ht="12.75">
      <c r="B221" s="108" t="str">
        <f ca="1">INDIRECT("foodbase!a221")</f>
        <v>Margarine Spread (60% fat) hard</v>
      </c>
      <c r="C221" s="76"/>
      <c r="D221" s="29">
        <f ca="1">C221*INDIRECT("foodbase!c221")</f>
        <v>0</v>
      </c>
      <c r="E221" s="29">
        <f ca="1">C221*INDIRECT("foodbase!d221")</f>
        <v>0</v>
      </c>
      <c r="F221" s="29">
        <f ca="1">C221*INDIRECT("foodbase!e221")</f>
        <v>0</v>
      </c>
      <c r="G221" s="29">
        <f ca="1">C221*INDIRECT("foodbase!f221")</f>
        <v>0</v>
      </c>
    </row>
    <row r="222" spans="2:7" ht="12.75">
      <c r="B222" s="108" t="str">
        <f ca="1">INDIRECT("foodbase!a222")</f>
        <v>Marshmallows</v>
      </c>
      <c r="C222" s="76"/>
      <c r="D222" s="29">
        <f ca="1">C222*INDIRECT("foodbase!c222")</f>
        <v>0</v>
      </c>
      <c r="E222" s="29">
        <f ca="1">C222*INDIRECT("foodbase!d222")</f>
        <v>0</v>
      </c>
      <c r="F222" s="29">
        <f ca="1">C222*INDIRECT("foodbase!e222")</f>
        <v>0</v>
      </c>
      <c r="G222" s="29">
        <f ca="1">C222*INDIRECT("foodbase!f222")</f>
        <v>0</v>
      </c>
    </row>
    <row r="223" spans="2:7" ht="12.75">
      <c r="B223" s="108" t="str">
        <f ca="1">INDIRECT("foodbase!a223")</f>
        <v>Melba toast, plain</v>
      </c>
      <c r="C223" s="76"/>
      <c r="D223" s="29">
        <f ca="1">C223*INDIRECT("foodbase!c223")</f>
        <v>0</v>
      </c>
      <c r="E223" s="29">
        <f ca="1">C223*INDIRECT("foodbase!d223")</f>
        <v>0</v>
      </c>
      <c r="F223" s="29">
        <f ca="1">C223*INDIRECT("foodbase!e223")</f>
        <v>0</v>
      </c>
      <c r="G223" s="29">
        <f ca="1">C223*INDIRECT("foodbase!f223")</f>
        <v>0</v>
      </c>
    </row>
    <row r="224" spans="2:7" ht="12.75">
      <c r="B224" s="108" t="str">
        <f ca="1">INDIRECT("foodbase!a224")</f>
        <v>Milk - 2% Low Fat</v>
      </c>
      <c r="C224" s="76"/>
      <c r="D224" s="29">
        <f ca="1">C224*INDIRECT("foodbase!c224")</f>
        <v>0</v>
      </c>
      <c r="E224" s="29">
        <f ca="1">C224*INDIRECT("foodbase!d224")</f>
        <v>0</v>
      </c>
      <c r="F224" s="29">
        <f ca="1">C224*INDIRECT("foodbase!e224")</f>
        <v>0</v>
      </c>
      <c r="G224" s="29">
        <f ca="1">C224*INDIRECT("foodbase!f224")</f>
        <v>0</v>
      </c>
    </row>
    <row r="225" spans="2:7" ht="12.75">
      <c r="B225" s="108" t="str">
        <f ca="1">INDIRECT("foodbase!a225")</f>
        <v>Milk - Whole</v>
      </c>
      <c r="C225" s="76"/>
      <c r="D225" s="29">
        <f ca="1">C225*INDIRECT("foodbase!c225")</f>
        <v>0</v>
      </c>
      <c r="E225" s="29">
        <f ca="1">C225*INDIRECT("foodbase!d225")</f>
        <v>0</v>
      </c>
      <c r="F225" s="29">
        <f ca="1">C225*INDIRECT("foodbase!e225")</f>
        <v>0</v>
      </c>
      <c r="G225" s="29">
        <f ca="1">C225*INDIRECT("foodbase!f225")</f>
        <v>0</v>
      </c>
    </row>
    <row r="226" spans="2:7" ht="12.75">
      <c r="B226" s="108" t="str">
        <f ca="1">INDIRECT("foodbase!a226")</f>
        <v>Mixed grain toasted</v>
      </c>
      <c r="C226" s="76"/>
      <c r="D226" s="29">
        <f ca="1">C226*INDIRECT("foodbase!c226")</f>
        <v>0</v>
      </c>
      <c r="E226" s="29">
        <f ca="1">C226*INDIRECT("foodbase!d226")</f>
        <v>0</v>
      </c>
      <c r="F226" s="29">
        <f ca="1">C226*INDIRECT("foodbase!e226")</f>
        <v>0</v>
      </c>
      <c r="G226" s="29">
        <f ca="1">C226*INDIRECT("foodbase!f226")</f>
        <v>0</v>
      </c>
    </row>
    <row r="227" spans="2:7" ht="12.75">
      <c r="B227" s="108" t="str">
        <f ca="1">INDIRECT("foodbase!a227")</f>
        <v>Muffins Blueberry, commercial</v>
      </c>
      <c r="C227" s="76"/>
      <c r="D227" s="29">
        <f ca="1">C227*INDIRECT("foodbase!c227")</f>
        <v>0</v>
      </c>
      <c r="E227" s="29">
        <f ca="1">C227*INDIRECT("foodbase!d227")</f>
        <v>0</v>
      </c>
      <c r="F227" s="29">
        <f ca="1">C227*INDIRECT("foodbase!e227")</f>
        <v>0</v>
      </c>
      <c r="G227" s="29">
        <f ca="1">C227*INDIRECT("foodbase!f227")</f>
        <v>0</v>
      </c>
    </row>
    <row r="228" spans="2:7" ht="12.75">
      <c r="B228" s="108" t="str">
        <f ca="1">INDIRECT("foodbase!a228")</f>
        <v>Mushrooms raw sliced</v>
      </c>
      <c r="C228" s="76"/>
      <c r="D228" s="29">
        <f ca="1">C228*INDIRECT("foodbase!c228")</f>
        <v>0</v>
      </c>
      <c r="E228" s="29">
        <f ca="1">C228*INDIRECT("foodbase!d228")</f>
        <v>0</v>
      </c>
      <c r="F228" s="29">
        <f ca="1">C228*INDIRECT("foodbase!e228")</f>
        <v>0</v>
      </c>
      <c r="G228" s="29">
        <f ca="1">C228*INDIRECT("foodbase!f228")</f>
        <v>0</v>
      </c>
    </row>
    <row r="229" spans="2:7" ht="12.75">
      <c r="B229" s="108" t="str">
        <f ca="1">INDIRECT("foodbase!a229")</f>
        <v>Nectarines raw without pits</v>
      </c>
      <c r="C229" s="76"/>
      <c r="D229" s="29">
        <f ca="1">C229*INDIRECT("foodbase!c229")</f>
        <v>0</v>
      </c>
      <c r="E229" s="29">
        <f ca="1">C229*INDIRECT("foodbase!d229")</f>
        <v>0</v>
      </c>
      <c r="F229" s="29">
        <f ca="1">C229*INDIRECT("foodbase!e229")</f>
        <v>0</v>
      </c>
      <c r="G229" s="29">
        <f ca="1">C229*INDIRECT("foodbase!f229")</f>
        <v>0</v>
      </c>
    </row>
    <row r="230" spans="2:7" ht="12.75">
      <c r="B230" s="108" t="str">
        <f ca="1">INDIRECT("foodbase!a230")</f>
        <v>Oil - Corn</v>
      </c>
      <c r="C230" s="76"/>
      <c r="D230" s="29">
        <f ca="1">C230*INDIRECT("foodbase!c230")</f>
        <v>0</v>
      </c>
      <c r="E230" s="29">
        <f ca="1">C230*INDIRECT("foodbase!d230")</f>
        <v>0</v>
      </c>
      <c r="F230" s="29">
        <f ca="1">C230*INDIRECT("foodbase!e230")</f>
        <v>0</v>
      </c>
      <c r="G230" s="29">
        <f ca="1">C230*INDIRECT("foodbase!f230")</f>
        <v>0</v>
      </c>
    </row>
    <row r="231" spans="2:7" ht="12.75">
      <c r="B231" s="108" t="str">
        <f ca="1">INDIRECT("foodbase!a231")</f>
        <v>Oil - Olive</v>
      </c>
      <c r="C231" s="76"/>
      <c r="D231" s="29">
        <f ca="1">C231*INDIRECT("foodbase!c231")</f>
        <v>0</v>
      </c>
      <c r="E231" s="29">
        <f ca="1">C231*INDIRECT("foodbase!d231")</f>
        <v>0</v>
      </c>
      <c r="F231" s="29">
        <f ca="1">C231*INDIRECT("foodbase!e231")</f>
        <v>0</v>
      </c>
      <c r="G231" s="29">
        <f ca="1">C231*INDIRECT("foodbase!f231")</f>
        <v>0</v>
      </c>
    </row>
    <row r="232" spans="2:7" ht="12.75">
      <c r="B232" s="108" t="str">
        <f ca="1">INDIRECT("foodbase!a232")</f>
        <v>Oil - Peanut</v>
      </c>
      <c r="C232" s="76"/>
      <c r="D232" s="29">
        <f ca="1">C232*INDIRECT("foodbase!c232")</f>
        <v>0</v>
      </c>
      <c r="E232" s="29">
        <f ca="1">C232*INDIRECT("foodbase!d232")</f>
        <v>0</v>
      </c>
      <c r="F232" s="29">
        <f ca="1">C232*INDIRECT("foodbase!e232")</f>
        <v>0</v>
      </c>
      <c r="G232" s="29">
        <f ca="1">C232*INDIRECT("foodbase!f232")</f>
        <v>0</v>
      </c>
    </row>
    <row r="233" spans="2:7" ht="12.75">
      <c r="B233" s="108" t="str">
        <f ca="1">INDIRECT("foodbase!a233")</f>
        <v>Onions raw chopped</v>
      </c>
      <c r="C233" s="76"/>
      <c r="D233" s="29">
        <f ca="1">C233*INDIRECT("foodbase!c233")</f>
        <v>0</v>
      </c>
      <c r="E233" s="29">
        <f ca="1">C233*INDIRECT("foodbase!d233")</f>
        <v>0</v>
      </c>
      <c r="F233" s="29">
        <f ca="1">C233*INDIRECT("foodbase!e233")</f>
        <v>0</v>
      </c>
      <c r="G233" s="29">
        <f ca="1">C233*INDIRECT("foodbase!f233")</f>
        <v>0</v>
      </c>
    </row>
    <row r="234" spans="2:7" ht="12.75">
      <c r="B234" s="108" t="str">
        <f ca="1">INDIRECT("foodbase!a234")</f>
        <v>Orange (12 fl oz)</v>
      </c>
      <c r="C234" s="76"/>
      <c r="D234" s="29">
        <f ca="1">C234*INDIRECT("foodbase!c234")</f>
        <v>0</v>
      </c>
      <c r="E234" s="29">
        <f ca="1">C234*INDIRECT("foodbase!d234")</f>
        <v>0</v>
      </c>
      <c r="F234" s="29">
        <f ca="1">C234*INDIRECT("foodbase!e234")</f>
        <v>0</v>
      </c>
      <c r="G234" s="29">
        <f ca="1">C234*INDIRECT("foodbase!f234")</f>
        <v>0</v>
      </c>
    </row>
    <row r="235" spans="2:7" ht="12.75">
      <c r="B235" s="108" t="str">
        <f ca="1">INDIRECT("foodbase!a235")</f>
        <v>Orange juice</v>
      </c>
      <c r="C235" s="76"/>
      <c r="D235" s="29">
        <f ca="1">C235*INDIRECT("foodbase!c235")</f>
        <v>0</v>
      </c>
      <c r="E235" s="29">
        <f ca="1">C235*INDIRECT("foodbase!d235")</f>
        <v>0</v>
      </c>
      <c r="F235" s="29">
        <f ca="1">C235*INDIRECT("foodbase!e235")</f>
        <v>0</v>
      </c>
      <c r="G235" s="29">
        <f ca="1">C235*INDIRECT("foodbase!f235")</f>
        <v>0</v>
      </c>
    </row>
    <row r="236" spans="2:7" ht="12.75">
      <c r="B236" s="108" t="str">
        <f ca="1">INDIRECT("foodbase!a236")</f>
        <v>Oysters - raw Pacific</v>
      </c>
      <c r="C236" s="76"/>
      <c r="D236" s="29">
        <f ca="1">C236*INDIRECT("foodbase!c236")</f>
        <v>0</v>
      </c>
      <c r="E236" s="29">
        <f ca="1">C236*INDIRECT("foodbase!d236")</f>
        <v>0</v>
      </c>
      <c r="F236" s="29">
        <f ca="1">C236*INDIRECT("foodbase!e236")</f>
        <v>0</v>
      </c>
      <c r="G236" s="29">
        <f ca="1">C236*INDIRECT("foodbase!f236")</f>
        <v>0</v>
      </c>
    </row>
    <row r="237" spans="2:7" ht="12.75">
      <c r="B237" s="108" t="str">
        <f ca="1">INDIRECT("foodbase!a237")</f>
        <v>Oysters Eastern raw</v>
      </c>
      <c r="C237" s="76"/>
      <c r="D237" s="29">
        <f ca="1">C237*INDIRECT("foodbase!c237")</f>
        <v>0</v>
      </c>
      <c r="E237" s="29">
        <f ca="1">C237*INDIRECT("foodbase!d237")</f>
        <v>0</v>
      </c>
      <c r="F237" s="29">
        <f ca="1">C237*INDIRECT("foodbase!e237")</f>
        <v>0</v>
      </c>
      <c r="G237" s="29">
        <f ca="1">C237*INDIRECT("foodbase!f237")</f>
        <v>0</v>
      </c>
    </row>
    <row r="238" spans="2:7" ht="12.75">
      <c r="B238" s="108" t="str">
        <f ca="1">INDIRECT("foodbase!a238")</f>
        <v>Peach pie, piece</v>
      </c>
      <c r="C238" s="76"/>
      <c r="D238" s="29">
        <f ca="1">C238*INDIRECT("foodbase!c238")</f>
        <v>0</v>
      </c>
      <c r="E238" s="29">
        <f ca="1">C238*INDIRECT("foodbase!d238")</f>
        <v>0</v>
      </c>
      <c r="F238" s="29">
        <f ca="1">C238*INDIRECT("foodbase!e238")</f>
        <v>0</v>
      </c>
      <c r="G238" s="29">
        <f ca="1">C238*INDIRECT("foodbase!f238")</f>
        <v>0</v>
      </c>
    </row>
    <row r="239" spans="2:7" ht="12.75">
      <c r="B239" s="108" t="str">
        <f ca="1">INDIRECT("foodbase!a239")</f>
        <v>Peaches juice pack</v>
      </c>
      <c r="C239" s="76"/>
      <c r="D239" s="29">
        <f ca="1">C239*INDIRECT("foodbase!c239")</f>
        <v>0</v>
      </c>
      <c r="E239" s="29">
        <f ca="1">C239*INDIRECT("foodbase!d239")</f>
        <v>0</v>
      </c>
      <c r="F239" s="29">
        <f ca="1">C239*INDIRECT("foodbase!e239")</f>
        <v>0</v>
      </c>
      <c r="G239" s="29">
        <f ca="1">C239*INDIRECT("foodbase!f239")</f>
        <v>0</v>
      </c>
    </row>
    <row r="240" spans="2:7" ht="12.75">
      <c r="B240" s="108" t="str">
        <f ca="1">INDIRECT("foodbase!a240")</f>
        <v>Peaches raw whole</v>
      </c>
      <c r="C240" s="76"/>
      <c r="D240" s="29">
        <f ca="1">C240*INDIRECT("foodbase!c240")</f>
        <v>0</v>
      </c>
      <c r="E240" s="29">
        <f ca="1">C240*INDIRECT("foodbase!d240")</f>
        <v>0</v>
      </c>
      <c r="F240" s="29">
        <f ca="1">C240*INDIRECT("foodbase!e240")</f>
        <v>0</v>
      </c>
      <c r="G240" s="29">
        <f ca="1">C240*INDIRECT("foodbase!f240")</f>
        <v>0</v>
      </c>
    </row>
    <row r="241" spans="2:7" ht="12.75">
      <c r="B241" s="108" t="str">
        <f ca="1">INDIRECT("foodbase!a241")</f>
        <v>Peanut Butter</v>
      </c>
      <c r="C241" s="76"/>
      <c r="D241" s="29">
        <f ca="1">C241*INDIRECT("foodbase!c241")</f>
        <v>0</v>
      </c>
      <c r="E241" s="29">
        <f ca="1">C241*INDIRECT("foodbase!d241")</f>
        <v>0</v>
      </c>
      <c r="F241" s="29">
        <f ca="1">C241*INDIRECT("foodbase!e241")</f>
        <v>0</v>
      </c>
      <c r="G241" s="29">
        <f ca="1">C241*INDIRECT("foodbase!f241")</f>
        <v>0</v>
      </c>
    </row>
    <row r="242" spans="2:7" ht="12.75">
      <c r="B242" s="108" t="str">
        <f ca="1">INDIRECT("foodbase!a242")</f>
        <v>Pears raw Bartlett</v>
      </c>
      <c r="C242" s="76"/>
      <c r="D242" s="29">
        <f ca="1">C242*INDIRECT("foodbase!c242")</f>
        <v>0</v>
      </c>
      <c r="E242" s="29">
        <f ca="1">C242*INDIRECT("foodbase!d242")</f>
        <v>0</v>
      </c>
      <c r="F242" s="29">
        <f ca="1">C242*INDIRECT("foodbase!e242")</f>
        <v>0</v>
      </c>
      <c r="G242" s="29">
        <f ca="1">C242*INDIRECT("foodbase!f242")</f>
        <v>0</v>
      </c>
    </row>
    <row r="243" spans="2:7" ht="12.75">
      <c r="B243" s="108" t="str">
        <f ca="1">INDIRECT("foodbase!a243")</f>
        <v>Peas, green canned drained</v>
      </c>
      <c r="C243" s="76"/>
      <c r="D243" s="29">
        <f ca="1">C243*INDIRECT("foodbase!c243")</f>
        <v>0</v>
      </c>
      <c r="E243" s="29">
        <f ca="1">C243*INDIRECT("foodbase!d243")</f>
        <v>0</v>
      </c>
      <c r="F243" s="29">
        <f ca="1">C243*INDIRECT("foodbase!e243")</f>
        <v>0</v>
      </c>
      <c r="G243" s="29">
        <f ca="1">C243*INDIRECT("foodbase!f243")</f>
        <v>0</v>
      </c>
    </row>
    <row r="244" spans="2:7" ht="12.75">
      <c r="B244" s="108" t="str">
        <f ca="1">INDIRECT("foodbase!a244")</f>
        <v>Pepper black</v>
      </c>
      <c r="C244" s="76"/>
      <c r="D244" s="29">
        <f ca="1">C244*INDIRECT("foodbase!c244")</f>
        <v>0</v>
      </c>
      <c r="E244" s="29">
        <f ca="1">C244*INDIRECT("foodbase!d244")</f>
        <v>0</v>
      </c>
      <c r="F244" s="29">
        <f ca="1">C244*INDIRECT("foodbase!e244")</f>
        <v>0</v>
      </c>
      <c r="G244" s="29">
        <f ca="1">C244*INDIRECT("foodbase!f244")</f>
        <v>0</v>
      </c>
    </row>
    <row r="245" spans="2:7" ht="12.75">
      <c r="B245" s="108" t="str">
        <f ca="1">INDIRECT("foodbase!a245")</f>
        <v>Pickles dill medium</v>
      </c>
      <c r="C245" s="76"/>
      <c r="D245" s="29">
        <f ca="1">C245*INDIRECT("foodbase!c245")</f>
        <v>0</v>
      </c>
      <c r="E245" s="29">
        <f ca="1">C245*INDIRECT("foodbase!d245")</f>
        <v>0</v>
      </c>
      <c r="F245" s="29">
        <f ca="1">C245*INDIRECT("foodbase!e245")</f>
        <v>0</v>
      </c>
      <c r="G245" s="29">
        <f ca="1">C245*INDIRECT("foodbase!f245")</f>
        <v>0</v>
      </c>
    </row>
    <row r="246" spans="2:7" ht="12.75">
      <c r="B246" s="108" t="str">
        <f ca="1">INDIRECT("foodbase!a246")</f>
        <v>Pine nuts/pinyon dried</v>
      </c>
      <c r="C246" s="76"/>
      <c r="D246" s="29">
        <f ca="1">C246*INDIRECT("foodbase!c246")</f>
        <v>0</v>
      </c>
      <c r="E246" s="29">
        <f ca="1">C246*INDIRECT("foodbase!d246")</f>
        <v>0</v>
      </c>
      <c r="F246" s="29">
        <f ca="1">C246*INDIRECT("foodbase!e246")</f>
        <v>0</v>
      </c>
      <c r="G246" s="29">
        <f ca="1">C246*INDIRECT("foodbase!f246")</f>
        <v>0</v>
      </c>
    </row>
    <row r="247" spans="2:7" ht="12.75">
      <c r="B247" s="108" t="str">
        <f ca="1">INDIRECT("foodbase!a247")</f>
        <v>Pineapple raw chunks, dices</v>
      </c>
      <c r="C247" s="76"/>
      <c r="D247" s="29">
        <f ca="1">C247*INDIRECT("foodbase!c247")</f>
        <v>0</v>
      </c>
      <c r="E247" s="29">
        <f ca="1">C247*INDIRECT("foodbase!d247")</f>
        <v>0</v>
      </c>
      <c r="F247" s="29">
        <f ca="1">C247*INDIRECT("foodbase!e247")</f>
        <v>0</v>
      </c>
      <c r="G247" s="29">
        <f ca="1">C247*INDIRECT("foodbase!f247")</f>
        <v>0</v>
      </c>
    </row>
    <row r="248" spans="2:7" ht="12.75">
      <c r="B248" s="108" t="str">
        <f ca="1">INDIRECT("foodbase!a248")</f>
        <v>Pineapple, juice canned</v>
      </c>
      <c r="C248" s="76"/>
      <c r="D248" s="29">
        <f ca="1">C248*INDIRECT("foodbase!c248")</f>
        <v>0</v>
      </c>
      <c r="E248" s="29">
        <f ca="1">C248*INDIRECT("foodbase!d248")</f>
        <v>0</v>
      </c>
      <c r="F248" s="29">
        <f ca="1">C248*INDIRECT("foodbase!e248")</f>
        <v>0</v>
      </c>
      <c r="G248" s="29">
        <f ca="1">C248*INDIRECT("foodbase!f248")</f>
        <v>0</v>
      </c>
    </row>
    <row r="249" spans="2:7" ht="12.75">
      <c r="B249" s="108" t="str">
        <f ca="1">INDIRECT("foodbase!a249")</f>
        <v>Pinto Beans cooked from dry</v>
      </c>
      <c r="C249" s="76"/>
      <c r="D249" s="29">
        <f ca="1">C249*INDIRECT("foodbase!c249")</f>
        <v>0</v>
      </c>
      <c r="E249" s="29">
        <f ca="1">C249*INDIRECT("foodbase!d249")</f>
        <v>0</v>
      </c>
      <c r="F249" s="29">
        <f ca="1">C249*INDIRECT("foodbase!e249")</f>
        <v>0</v>
      </c>
      <c r="G249" s="29">
        <f ca="1">C249*INDIRECT("foodbase!f249")</f>
        <v>0</v>
      </c>
    </row>
    <row r="250" spans="2:7" ht="12.75">
      <c r="B250" s="108" t="str">
        <f ca="1">INDIRECT("foodbase!a250")</f>
        <v>Plantains, cooked, boiled,sliced</v>
      </c>
      <c r="C250" s="76"/>
      <c r="D250" s="29">
        <f ca="1">C250*INDIRECT("foodbase!c250")</f>
        <v>0</v>
      </c>
      <c r="E250" s="29">
        <f ca="1">C250*INDIRECT("foodbase!d250")</f>
        <v>0</v>
      </c>
      <c r="F250" s="29">
        <f ca="1">C250*INDIRECT("foodbase!e250")</f>
        <v>0</v>
      </c>
      <c r="G250" s="29">
        <f ca="1">C250*INDIRECT("foodbase!f250")</f>
        <v>0</v>
      </c>
    </row>
    <row r="251" spans="2:7" ht="12.75">
      <c r="B251" s="108" t="str">
        <f ca="1">INDIRECT("foodbase!a251")</f>
        <v>Plums</v>
      </c>
      <c r="C251" s="76"/>
      <c r="D251" s="29">
        <f ca="1">C251*INDIRECT("foodbase!c251")</f>
        <v>0</v>
      </c>
      <c r="E251" s="29">
        <f ca="1">C251*INDIRECT("foodbase!d251")</f>
        <v>0</v>
      </c>
      <c r="F251" s="29">
        <f ca="1">C251*INDIRECT("foodbase!e251")</f>
        <v>0</v>
      </c>
      <c r="G251" s="29">
        <f ca="1">C251*INDIRECT("foodbase!f251")</f>
        <v>0</v>
      </c>
    </row>
    <row r="252" spans="2:7" ht="12.75">
      <c r="B252" s="108" t="str">
        <f ca="1">INDIRECT("foodbase!a252")</f>
        <v>Popcorn, air popped plain</v>
      </c>
      <c r="C252" s="76"/>
      <c r="D252" s="29">
        <f ca="1">C252*INDIRECT("foodbase!c252")</f>
        <v>0</v>
      </c>
      <c r="E252" s="29">
        <f ca="1">C252*INDIRECT("foodbase!d252")</f>
        <v>0</v>
      </c>
      <c r="F252" s="29">
        <f ca="1">C252*INDIRECT("foodbase!e252")</f>
        <v>0</v>
      </c>
      <c r="G252" s="29">
        <f ca="1">C252*INDIRECT("foodbase!f252")</f>
        <v>0</v>
      </c>
    </row>
    <row r="253" spans="2:7" ht="12.75">
      <c r="B253" s="108" t="str">
        <f ca="1">INDIRECT("foodbase!a253")</f>
        <v>Pork - Chops, Broiled lean &amp; fat</v>
      </c>
      <c r="C253" s="76"/>
      <c r="D253" s="29">
        <f ca="1">C253*INDIRECT("foodbase!c253")</f>
        <v>0</v>
      </c>
      <c r="E253" s="29">
        <f ca="1">C253*INDIRECT("foodbase!d253")</f>
        <v>0</v>
      </c>
      <c r="F253" s="29">
        <f ca="1">C253*INDIRECT("foodbase!e253")</f>
        <v>0</v>
      </c>
      <c r="G253" s="29">
        <f ca="1">C253*INDIRECT("foodbase!f253")</f>
        <v>0</v>
      </c>
    </row>
    <row r="254" spans="2:7" ht="12.75">
      <c r="B254" s="108" t="str">
        <f ca="1">INDIRECT("foodbase!a254")</f>
        <v>Pork, Bacon medium slices</v>
      </c>
      <c r="C254" s="76"/>
      <c r="D254" s="29">
        <f ca="1">C254*INDIRECT("foodbase!c254")</f>
        <v>0</v>
      </c>
      <c r="E254" s="29">
        <f ca="1">C254*INDIRECT("foodbase!d254")</f>
        <v>0</v>
      </c>
      <c r="F254" s="29">
        <f ca="1">C254*INDIRECT("foodbase!e254")</f>
        <v>0</v>
      </c>
      <c r="G254" s="29">
        <f ca="1">C254*INDIRECT("foodbase!f254")</f>
        <v>0</v>
      </c>
    </row>
    <row r="255" spans="2:7" ht="12.75">
      <c r="B255" s="108" t="str">
        <f ca="1">INDIRECT("foodbase!a255")</f>
        <v>Pork, rib roasted lean and fat</v>
      </c>
      <c r="C255" s="76"/>
      <c r="D255" s="29">
        <f ca="1">C255*INDIRECT("foodbase!c255")</f>
        <v>0</v>
      </c>
      <c r="E255" s="29">
        <f ca="1">C255*INDIRECT("foodbase!d255")</f>
        <v>0</v>
      </c>
      <c r="F255" s="29">
        <f ca="1">C255*INDIRECT("foodbase!e255")</f>
        <v>0</v>
      </c>
      <c r="G255" s="29">
        <f ca="1">C255*INDIRECT("foodbase!f255")</f>
        <v>0</v>
      </c>
    </row>
    <row r="256" spans="2:7" ht="12.75">
      <c r="B256" s="108" t="str">
        <f ca="1">INDIRECT("foodbase!a256")</f>
        <v>Potato chips</v>
      </c>
      <c r="C256" s="76"/>
      <c r="D256" s="29">
        <f ca="1">C256*INDIRECT("foodbase!c256")</f>
        <v>0</v>
      </c>
      <c r="E256" s="29">
        <f ca="1">C256*INDIRECT("foodbase!d256")</f>
        <v>0</v>
      </c>
      <c r="F256" s="29">
        <f ca="1">C256*INDIRECT("foodbase!e256")</f>
        <v>0</v>
      </c>
      <c r="G256" s="29">
        <f ca="1">C256*INDIRECT("foodbase!f256")</f>
        <v>0</v>
      </c>
    </row>
    <row r="257" spans="2:7" ht="12.75">
      <c r="B257" s="108" t="str">
        <f ca="1">INDIRECT("foodbase!a257")</f>
        <v>Potatoes mashed</v>
      </c>
      <c r="C257" s="76"/>
      <c r="D257" s="29">
        <f ca="1">C257*INDIRECT("foodbase!c257")</f>
        <v>0</v>
      </c>
      <c r="E257" s="29">
        <f ca="1">C257*INDIRECT("foodbase!d257")</f>
        <v>0</v>
      </c>
      <c r="F257" s="29">
        <f ca="1">C257*INDIRECT("foodbase!e257")</f>
        <v>0</v>
      </c>
      <c r="G257" s="29">
        <f ca="1">C257*INDIRECT("foodbase!f257")</f>
        <v>0</v>
      </c>
    </row>
    <row r="258" spans="2:7" ht="12.75">
      <c r="B258" s="108" t="str">
        <f ca="1">INDIRECT("foodbase!a258")</f>
        <v>Pretzels, thin sticks</v>
      </c>
      <c r="C258" s="76"/>
      <c r="D258" s="29">
        <f ca="1">C258*INDIRECT("foodbase!c258")</f>
        <v>0</v>
      </c>
      <c r="E258" s="29">
        <f ca="1">C258*INDIRECT("foodbase!d258")</f>
        <v>0</v>
      </c>
      <c r="F258" s="29">
        <f ca="1">C258*INDIRECT("foodbase!e258")</f>
        <v>0</v>
      </c>
      <c r="G258" s="29">
        <f ca="1">C258*INDIRECT("foodbase!f258")</f>
        <v>0</v>
      </c>
    </row>
    <row r="259" spans="2:7" ht="12.75">
      <c r="B259" s="108" t="str">
        <f ca="1">INDIRECT("foodbase!a259")</f>
        <v>Prune juice bottled or canned</v>
      </c>
      <c r="C259" s="76"/>
      <c r="D259" s="29">
        <f ca="1">C259*INDIRECT("foodbase!c259")</f>
        <v>0</v>
      </c>
      <c r="E259" s="29">
        <f ca="1">C259*INDIRECT("foodbase!d259")</f>
        <v>0</v>
      </c>
      <c r="F259" s="29">
        <f ca="1">C259*INDIRECT("foodbase!e259")</f>
        <v>0</v>
      </c>
      <c r="G259" s="29">
        <f ca="1">C259*INDIRECT("foodbase!f259")</f>
        <v>0</v>
      </c>
    </row>
    <row r="260" spans="2:7" ht="12.75">
      <c r="B260" s="108" t="str">
        <f ca="1">INDIRECT("foodbase!a260")</f>
        <v>Pudding canned Chocolate</v>
      </c>
      <c r="C260" s="76"/>
      <c r="D260" s="29">
        <f ca="1">C260*INDIRECT("foodbase!c260")</f>
        <v>0</v>
      </c>
      <c r="E260" s="29">
        <f ca="1">C260*INDIRECT("foodbase!d260")</f>
        <v>0</v>
      </c>
      <c r="F260" s="29">
        <f ca="1">C260*INDIRECT("foodbase!e260")</f>
        <v>0</v>
      </c>
      <c r="G260" s="29">
        <f ca="1">C260*INDIRECT("foodbase!f260")</f>
        <v>0</v>
      </c>
    </row>
    <row r="261" spans="2:7" ht="12.75">
      <c r="B261" s="108" t="str">
        <f ca="1">INDIRECT("foodbase!a261")</f>
        <v>Raisin bread slice</v>
      </c>
      <c r="C261" s="76"/>
      <c r="D261" s="29">
        <f ca="1">C261*INDIRECT("foodbase!c261")</f>
        <v>0</v>
      </c>
      <c r="E261" s="29">
        <f ca="1">C261*INDIRECT("foodbase!d261")</f>
        <v>0</v>
      </c>
      <c r="F261" s="29">
        <f ca="1">C261*INDIRECT("foodbase!e261")</f>
        <v>0</v>
      </c>
      <c r="G261" s="29">
        <f ca="1">C261*INDIRECT("foodbase!f261")</f>
        <v>0</v>
      </c>
    </row>
    <row r="262" spans="2:7" ht="12.75">
      <c r="B262" s="108" t="str">
        <f ca="1">INDIRECT("foodbase!a262")</f>
        <v>Raisins, seedless</v>
      </c>
      <c r="C262" s="76"/>
      <c r="D262" s="29">
        <f ca="1">C262*INDIRECT("foodbase!c262")</f>
        <v>0</v>
      </c>
      <c r="E262" s="29">
        <f ca="1">C262*INDIRECT("foodbase!d262")</f>
        <v>0</v>
      </c>
      <c r="F262" s="29">
        <f ca="1">C262*INDIRECT("foodbase!e262")</f>
        <v>0</v>
      </c>
      <c r="G262" s="29">
        <f ca="1">C262*INDIRECT("foodbase!f262")</f>
        <v>0</v>
      </c>
    </row>
    <row r="263" spans="2:7" ht="12.75">
      <c r="B263" s="108" t="str">
        <f ca="1">INDIRECT("foodbase!a263")</f>
        <v>Raw white</v>
      </c>
      <c r="C263" s="76"/>
      <c r="D263" s="29">
        <f ca="1">C263*INDIRECT("foodbase!c263")</f>
        <v>0</v>
      </c>
      <c r="E263" s="29">
        <f ca="1">C263*INDIRECT("foodbase!d263")</f>
        <v>0</v>
      </c>
      <c r="F263" s="29">
        <f ca="1">C263*INDIRECT("foodbase!e263")</f>
        <v>0</v>
      </c>
      <c r="G263" s="29">
        <f ca="1">C263*INDIRECT("foodbase!f263")</f>
        <v>0</v>
      </c>
    </row>
    <row r="264" spans="2:7" ht="12.75">
      <c r="B264" s="108" t="str">
        <f ca="1">INDIRECT("foodbase!a264")</f>
        <v>Raw whole without shell</v>
      </c>
      <c r="C264" s="76"/>
      <c r="D264" s="29">
        <f ca="1">C264*INDIRECT("foodbase!c264")</f>
        <v>0</v>
      </c>
      <c r="E264" s="29">
        <f ca="1">C264*INDIRECT("foodbase!d264")</f>
        <v>0</v>
      </c>
      <c r="F264" s="29">
        <f ca="1">C264*INDIRECT("foodbase!e264")</f>
        <v>0</v>
      </c>
      <c r="G264" s="29">
        <f ca="1">C264*INDIRECT("foodbase!f264")</f>
        <v>0</v>
      </c>
    </row>
    <row r="265" spans="2:7" ht="12.75">
      <c r="B265" s="108" t="str">
        <f ca="1">INDIRECT("foodbase!a265")</f>
        <v>Raw Yolk</v>
      </c>
      <c r="C265" s="76"/>
      <c r="D265" s="29">
        <f ca="1">C265*INDIRECT("foodbase!c265")</f>
        <v>0</v>
      </c>
      <c r="E265" s="29">
        <f ca="1">C265*INDIRECT("foodbase!d265")</f>
        <v>0</v>
      </c>
      <c r="F265" s="29">
        <f ca="1">C265*INDIRECT("foodbase!e265")</f>
        <v>0</v>
      </c>
      <c r="G265" s="29">
        <f ca="1">C265*INDIRECT("foodbase!f265")</f>
        <v>0</v>
      </c>
    </row>
    <row r="266" spans="2:7" ht="12.75">
      <c r="B266" s="108" t="str">
        <f ca="1">INDIRECT("foodbase!a266")</f>
        <v>Rhubarb cooked added sugar</v>
      </c>
      <c r="C266" s="76"/>
      <c r="D266" s="29">
        <f ca="1">C266*INDIRECT("foodbase!c266")</f>
        <v>0</v>
      </c>
      <c r="E266" s="29">
        <f ca="1">C266*INDIRECT("foodbase!d266")</f>
        <v>0</v>
      </c>
      <c r="F266" s="29">
        <f ca="1">C266*INDIRECT("foodbase!e266")</f>
        <v>0</v>
      </c>
      <c r="G266" s="29">
        <f ca="1">C266*INDIRECT("foodbase!f266")</f>
        <v>0</v>
      </c>
    </row>
    <row r="267" spans="2:7" ht="12.75">
      <c r="B267" s="108" t="str">
        <f ca="1">INDIRECT("foodbase!a267")</f>
        <v>Rice, brown cooked</v>
      </c>
      <c r="C267" s="76"/>
      <c r="D267" s="29">
        <f ca="1">C267*INDIRECT("foodbase!c267")</f>
        <v>0</v>
      </c>
      <c r="E267" s="29">
        <f ca="1">C267*INDIRECT("foodbase!d267")</f>
        <v>0</v>
      </c>
      <c r="F267" s="29">
        <f ca="1">C267*INDIRECT("foodbase!e267")</f>
        <v>0</v>
      </c>
      <c r="G267" s="29">
        <f ca="1">C267*INDIRECT("foodbase!f267")</f>
        <v>0</v>
      </c>
    </row>
    <row r="268" spans="2:7" ht="12.75">
      <c r="B268" s="108" t="str">
        <f ca="1">INDIRECT("foodbase!a268")</f>
        <v>Root Beer (12 fl oz)</v>
      </c>
      <c r="C268" s="76"/>
      <c r="D268" s="29">
        <f ca="1">C268*INDIRECT("foodbase!c268")</f>
        <v>0</v>
      </c>
      <c r="E268" s="29">
        <f ca="1">C268*INDIRECT("foodbase!d268")</f>
        <v>0</v>
      </c>
      <c r="F268" s="29">
        <f ca="1">C268*INDIRECT("foodbase!e268")</f>
        <v>0</v>
      </c>
      <c r="G268" s="29">
        <f ca="1">C268*INDIRECT("foodbase!f268")</f>
        <v>0</v>
      </c>
    </row>
    <row r="269" spans="2:7" ht="12.75">
      <c r="B269" s="108" t="str">
        <f ca="1">INDIRECT("foodbase!a269")</f>
        <v>Rye wafers, whole grain</v>
      </c>
      <c r="C269" s="76"/>
      <c r="D269" s="29">
        <f ca="1">C269*INDIRECT("foodbase!c269")</f>
        <v>0</v>
      </c>
      <c r="E269" s="29">
        <f ca="1">C269*INDIRECT("foodbase!d269")</f>
        <v>0</v>
      </c>
      <c r="F269" s="29">
        <f ca="1">C269*INDIRECT("foodbase!e269")</f>
        <v>0</v>
      </c>
      <c r="G269" s="29">
        <f ca="1">C269*INDIRECT("foodbase!f269")</f>
        <v>0</v>
      </c>
    </row>
    <row r="270" spans="2:7" ht="12.75">
      <c r="B270" s="108" t="str">
        <f ca="1">INDIRECT("foodbase!a270")</f>
        <v>Rye, sliced</v>
      </c>
      <c r="C270" s="76"/>
      <c r="D270" s="29">
        <f ca="1">C270*INDIRECT("foodbase!c270")</f>
        <v>0</v>
      </c>
      <c r="E270" s="29">
        <f ca="1">C270*INDIRECT("foodbase!d270")</f>
        <v>0</v>
      </c>
      <c r="F270" s="29">
        <f ca="1">C270*INDIRECT("foodbase!e270")</f>
        <v>0</v>
      </c>
      <c r="G270" s="29">
        <f ca="1">C270*INDIRECT("foodbase!f270")</f>
        <v>0</v>
      </c>
    </row>
    <row r="271" spans="2:7" ht="12.75">
      <c r="B271" s="108" t="str">
        <f ca="1">INDIRECT("foodbase!a271")</f>
        <v>Safflower</v>
      </c>
      <c r="C271" s="76"/>
      <c r="D271" s="29">
        <f ca="1">C271*INDIRECT("foodbase!c271")</f>
        <v>0</v>
      </c>
      <c r="E271" s="29">
        <f ca="1">C271*INDIRECT("foodbase!d271")</f>
        <v>0</v>
      </c>
      <c r="F271" s="29">
        <f ca="1">C271*INDIRECT("foodbase!e271")</f>
        <v>0</v>
      </c>
      <c r="G271" s="29">
        <f ca="1">C271*INDIRECT("foodbase!f271")</f>
        <v>0</v>
      </c>
    </row>
    <row r="272" spans="2:7" ht="12.75">
      <c r="B272" s="108" t="str">
        <f ca="1">INDIRECT("foodbase!a272")</f>
        <v>Salad Dressing - Blue Cheese</v>
      </c>
      <c r="C272" s="76"/>
      <c r="D272" s="29">
        <f ca="1">C272*INDIRECT("foodbase!c272")</f>
        <v>0</v>
      </c>
      <c r="E272" s="29">
        <f ca="1">C272*INDIRECT("foodbase!d272")</f>
        <v>0</v>
      </c>
      <c r="F272" s="29">
        <f ca="1">C272*INDIRECT("foodbase!e272")</f>
        <v>0</v>
      </c>
      <c r="G272" s="29">
        <f ca="1">C272*INDIRECT("foodbase!f272")</f>
        <v>0</v>
      </c>
    </row>
    <row r="273" spans="2:7" ht="12.75">
      <c r="B273" s="108" t="str">
        <f ca="1">INDIRECT("foodbase!a273")</f>
        <v>Salad Dressing - French Regular</v>
      </c>
      <c r="C273" s="76"/>
      <c r="D273" s="29">
        <f ca="1">C273*INDIRECT("foodbase!c273")</f>
        <v>0</v>
      </c>
      <c r="E273" s="29">
        <f ca="1">C273*INDIRECT("foodbase!d273")</f>
        <v>0</v>
      </c>
      <c r="F273" s="29">
        <f ca="1">C273*INDIRECT("foodbase!e273")</f>
        <v>0</v>
      </c>
      <c r="G273" s="29">
        <f ca="1">C273*INDIRECT("foodbase!f273")</f>
        <v>0</v>
      </c>
    </row>
    <row r="274" spans="2:7" ht="12.75">
      <c r="B274" s="108" t="str">
        <f ca="1">INDIRECT("foodbase!a274")</f>
        <v>Salad Dressing - Italian Regular</v>
      </c>
      <c r="C274" s="76"/>
      <c r="D274" s="29">
        <f ca="1">C274*INDIRECT("foodbase!c274")</f>
        <v>0</v>
      </c>
      <c r="E274" s="29">
        <f ca="1">C274*INDIRECT("foodbase!d274")</f>
        <v>0</v>
      </c>
      <c r="F274" s="29">
        <f ca="1">C274*INDIRECT("foodbase!e274")</f>
        <v>0</v>
      </c>
      <c r="G274" s="29">
        <f ca="1">C274*INDIRECT("foodbase!f274")</f>
        <v>0</v>
      </c>
    </row>
    <row r="275" spans="2:7" ht="12.75">
      <c r="B275" s="108" t="str">
        <f ca="1">INDIRECT("foodbase!a275")</f>
        <v>Salad Dressing 1000 Island</v>
      </c>
      <c r="C275" s="76"/>
      <c r="D275" s="29">
        <f ca="1">C275*INDIRECT("foodbase!c275")</f>
        <v>0</v>
      </c>
      <c r="E275" s="29">
        <f ca="1">C275*INDIRECT("foodbase!d275")</f>
        <v>0</v>
      </c>
      <c r="F275" s="29">
        <f ca="1">C275*INDIRECT("foodbase!e275")</f>
        <v>0</v>
      </c>
      <c r="G275" s="29">
        <f ca="1">C275*INDIRECT("foodbase!f275")</f>
        <v>0</v>
      </c>
    </row>
    <row r="276" spans="2:7" ht="12.75">
      <c r="B276" s="108" t="str">
        <f ca="1">INDIRECT("foodbase!a276")</f>
        <v>Salad Dressing Mayonnaise</v>
      </c>
      <c r="C276" s="76"/>
      <c r="D276" s="29">
        <f ca="1">C276*INDIRECT("foodbase!c276")</f>
        <v>0</v>
      </c>
      <c r="E276" s="29">
        <f ca="1">C276*INDIRECT("foodbase!d276")</f>
        <v>0</v>
      </c>
      <c r="F276" s="29">
        <f ca="1">C276*INDIRECT("foodbase!e276")</f>
        <v>0</v>
      </c>
      <c r="G276" s="29">
        <f ca="1">C276*INDIRECT("foodbase!f276")</f>
        <v>0</v>
      </c>
    </row>
    <row r="277" spans="2:7" ht="12.75">
      <c r="B277" s="108" t="str">
        <f ca="1">INDIRECT("foodbase!a277")</f>
        <v>Salmon - Broiled or baked</v>
      </c>
      <c r="C277" s="76"/>
      <c r="D277" s="29">
        <f ca="1">C277*INDIRECT("foodbase!c277")</f>
        <v>0</v>
      </c>
      <c r="E277" s="29">
        <f ca="1">C277*INDIRECT("foodbase!d277")</f>
        <v>0</v>
      </c>
      <c r="F277" s="29">
        <f ca="1">C277*INDIRECT("foodbase!e277")</f>
        <v>0</v>
      </c>
      <c r="G277" s="29">
        <f ca="1">C277*INDIRECT("foodbase!f277")</f>
        <v>0</v>
      </c>
    </row>
    <row r="278" spans="2:7" ht="12.75">
      <c r="B278" s="108" t="str">
        <f ca="1">INDIRECT("foodbase!a278")</f>
        <v>Salmon, canned pink solids</v>
      </c>
      <c r="C278" s="76"/>
      <c r="D278" s="29">
        <f ca="1">C278*INDIRECT("foodbase!c278")</f>
        <v>0</v>
      </c>
      <c r="E278" s="29">
        <f ca="1">C278*INDIRECT("foodbase!d278")</f>
        <v>0</v>
      </c>
      <c r="F278" s="29">
        <f ca="1">C278*INDIRECT("foodbase!e278")</f>
        <v>0</v>
      </c>
      <c r="G278" s="29">
        <f ca="1">C278*INDIRECT("foodbase!f278")</f>
        <v>0</v>
      </c>
    </row>
    <row r="279" spans="2:7" ht="12.75">
      <c r="B279" s="108" t="str">
        <f ca="1">INDIRECT("foodbase!a279")</f>
        <v>Saltine crackers</v>
      </c>
      <c r="C279" s="76"/>
      <c r="D279" s="29">
        <f ca="1">C279*INDIRECT("foodbase!c279")</f>
        <v>0</v>
      </c>
      <c r="E279" s="29">
        <f ca="1">C279*INDIRECT("foodbase!d279")</f>
        <v>0</v>
      </c>
      <c r="F279" s="29">
        <f ca="1">C279*INDIRECT("foodbase!e279")</f>
        <v>0</v>
      </c>
      <c r="G279" s="29">
        <f ca="1">C279*INDIRECT("foodbase!f279")</f>
        <v>0</v>
      </c>
    </row>
    <row r="280" spans="2:7" ht="12.75">
      <c r="B280" s="108" t="str">
        <f ca="1">INDIRECT("foodbase!a280")</f>
        <v>Scrambled with milk and butter</v>
      </c>
      <c r="C280" s="76"/>
      <c r="D280" s="29">
        <f ca="1">C280*INDIRECT("foodbase!c280")</f>
        <v>0</v>
      </c>
      <c r="E280" s="29">
        <f ca="1">C280*INDIRECT("foodbase!d280")</f>
        <v>0</v>
      </c>
      <c r="F280" s="29">
        <f ca="1">C280*INDIRECT("foodbase!e280")</f>
        <v>0</v>
      </c>
      <c r="G280" s="29">
        <f ca="1">C280*INDIRECT("foodbase!f280")</f>
        <v>0</v>
      </c>
    </row>
    <row r="281" spans="2:7" ht="12.75">
      <c r="B281" s="108" t="str">
        <f ca="1">INDIRECT("foodbase!a281")</f>
        <v>Sherbert (2% fat)</v>
      </c>
      <c r="C281" s="76"/>
      <c r="D281" s="29">
        <f ca="1">C281*INDIRECT("foodbase!c281")</f>
        <v>0</v>
      </c>
      <c r="E281" s="29">
        <f ca="1">C281*INDIRECT("foodbase!d281")</f>
        <v>0</v>
      </c>
      <c r="F281" s="29">
        <f ca="1">C281*INDIRECT("foodbase!e281")</f>
        <v>0</v>
      </c>
      <c r="G281" s="29">
        <f ca="1">C281*INDIRECT("foodbase!f281")</f>
        <v>0</v>
      </c>
    </row>
    <row r="282" spans="2:7" ht="12.75">
      <c r="B282" s="108" t="str">
        <f ca="1">INDIRECT("foodbase!a282")</f>
        <v>Skim Milk</v>
      </c>
      <c r="C282" s="76"/>
      <c r="D282" s="29">
        <f ca="1">C282*INDIRECT("foodbase!c282")</f>
        <v>0</v>
      </c>
      <c r="E282" s="29">
        <f ca="1">C282*INDIRECT("foodbase!d282")</f>
        <v>0</v>
      </c>
      <c r="F282" s="29">
        <f ca="1">C282*INDIRECT("foodbase!e282")</f>
        <v>0</v>
      </c>
      <c r="G282" s="29">
        <f ca="1">C282*INDIRECT("foodbase!f282")</f>
        <v>0</v>
      </c>
    </row>
    <row r="283" spans="2:7" ht="12.75">
      <c r="B283" s="108" t="str">
        <f ca="1">INDIRECT("foodbase!a283")</f>
        <v>Snack cakes, chocolate</v>
      </c>
      <c r="C283" s="76"/>
      <c r="D283" s="29">
        <f ca="1">C283*INDIRECT("foodbase!c283")</f>
        <v>0</v>
      </c>
      <c r="E283" s="29">
        <f ca="1">C283*INDIRECT("foodbase!d283")</f>
        <v>0</v>
      </c>
      <c r="F283" s="29">
        <f ca="1">C283*INDIRECT("foodbase!e283")</f>
        <v>0</v>
      </c>
      <c r="G283" s="29">
        <f ca="1">C283*INDIRECT("foodbase!f283")</f>
        <v>0</v>
      </c>
    </row>
    <row r="284" spans="2:7" ht="12.75">
      <c r="B284" s="108" t="str">
        <f ca="1">INDIRECT("foodbase!a284")</f>
        <v>Soybean</v>
      </c>
      <c r="C284" s="76"/>
      <c r="D284" s="29">
        <f ca="1">C284*INDIRECT("foodbase!c284")</f>
        <v>0</v>
      </c>
      <c r="E284" s="29">
        <f ca="1">C284*INDIRECT("foodbase!d284")</f>
        <v>0</v>
      </c>
      <c r="F284" s="29">
        <f ca="1">C284*INDIRECT("foodbase!e284")</f>
        <v>0</v>
      </c>
      <c r="G284" s="29">
        <f ca="1">C284*INDIRECT("foodbase!f284")</f>
        <v>0</v>
      </c>
    </row>
    <row r="285" spans="2:7" ht="12.75">
      <c r="B285" s="108" t="str">
        <f ca="1">INDIRECT("foodbase!a285")</f>
        <v>Spaghetti in sauce w/cheese</v>
      </c>
      <c r="C285" s="76"/>
      <c r="D285" s="29">
        <f ca="1">C285*INDIRECT("foodbase!c285")</f>
        <v>0</v>
      </c>
      <c r="E285" s="29">
        <f ca="1">C285*INDIRECT("foodbase!d285")</f>
        <v>0</v>
      </c>
      <c r="F285" s="29">
        <f ca="1">C285*INDIRECT("foodbase!e285")</f>
        <v>0</v>
      </c>
      <c r="G285" s="29">
        <f ca="1">C285*INDIRECT("foodbase!f285")</f>
        <v>0</v>
      </c>
    </row>
    <row r="286" spans="2:7" ht="12.75">
      <c r="B286" s="108" t="str">
        <f ca="1">INDIRECT("foodbase!a286")</f>
        <v>Spaghetti, cooked firm stage hot</v>
      </c>
      <c r="C286" s="76"/>
      <c r="D286" s="29">
        <f ca="1">C286*INDIRECT("foodbase!c286")</f>
        <v>0</v>
      </c>
      <c r="E286" s="29">
        <f ca="1">C286*INDIRECT("foodbase!d286")</f>
        <v>0</v>
      </c>
      <c r="F286" s="29">
        <f ca="1">C286*INDIRECT("foodbase!e286")</f>
        <v>0</v>
      </c>
      <c r="G286" s="29">
        <f ca="1">C286*INDIRECT("foodbase!f286")</f>
        <v>0</v>
      </c>
    </row>
    <row r="287" spans="2:7" ht="12.75">
      <c r="B287" s="108" t="str">
        <f ca="1">INDIRECT("foodbase!a287")</f>
        <v>Spinach raw chopped</v>
      </c>
      <c r="C287" s="76"/>
      <c r="D287" s="29">
        <f ca="1">C287*INDIRECT("foodbase!c287")</f>
        <v>0</v>
      </c>
      <c r="E287" s="29">
        <f ca="1">C287*INDIRECT("foodbase!d287")</f>
        <v>0</v>
      </c>
      <c r="F287" s="29">
        <f ca="1">C287*INDIRECT("foodbase!e287")</f>
        <v>0</v>
      </c>
      <c r="G287" s="29">
        <f ca="1">C287*INDIRECT("foodbase!f287")</f>
        <v>0</v>
      </c>
    </row>
    <row r="288" spans="2:7" ht="12.75">
      <c r="B288" s="108" t="str">
        <f ca="1">INDIRECT("foodbase!a288")</f>
        <v>Strawberries thawed measure</v>
      </c>
      <c r="C288" s="76"/>
      <c r="D288" s="29">
        <f ca="1">C288*INDIRECT("foodbase!c288")</f>
        <v>0</v>
      </c>
      <c r="E288" s="29">
        <f ca="1">C288*INDIRECT("foodbase!d288")</f>
        <v>0</v>
      </c>
      <c r="F288" s="29">
        <f ca="1">C288*INDIRECT("foodbase!e288")</f>
        <v>0</v>
      </c>
      <c r="G288" s="29">
        <f ca="1">C288*INDIRECT("foodbase!f288")</f>
        <v>0</v>
      </c>
    </row>
    <row r="289" spans="2:7" ht="12.75">
      <c r="B289" s="108" t="str">
        <f ca="1">INDIRECT("foodbase!a289")</f>
        <v>Tea Brewed</v>
      </c>
      <c r="C289" s="76"/>
      <c r="D289" s="29">
        <f ca="1">C289*INDIRECT("foodbase!c289")</f>
        <v>0</v>
      </c>
      <c r="E289" s="29">
        <f ca="1">C289*INDIRECT("foodbase!d289")</f>
        <v>0</v>
      </c>
      <c r="F289" s="29">
        <f ca="1">C289*INDIRECT("foodbase!e289")</f>
        <v>0</v>
      </c>
      <c r="G289" s="29">
        <f ca="1">C289*INDIRECT("foodbase!f289")</f>
        <v>0</v>
      </c>
    </row>
    <row r="290" spans="2:7" ht="12.75">
      <c r="B290" s="108" t="str">
        <f ca="1">INDIRECT("foodbase!a290")</f>
        <v>Tomatoes raw whole</v>
      </c>
      <c r="C290" s="76"/>
      <c r="D290" s="29">
        <f ca="1">C290*INDIRECT("foodbase!c290")</f>
        <v>0</v>
      </c>
      <c r="E290" s="29">
        <f ca="1">C290*INDIRECT("foodbase!d290")</f>
        <v>0</v>
      </c>
      <c r="F290" s="29">
        <f ca="1">C290*INDIRECT("foodbase!e290")</f>
        <v>0</v>
      </c>
      <c r="G290" s="29">
        <f ca="1">C290*INDIRECT("foodbase!f290")</f>
        <v>0</v>
      </c>
    </row>
    <row r="291" spans="2:7" ht="12.75">
      <c r="B291" s="108" t="str">
        <f ca="1">INDIRECT("foodbase!a291")</f>
        <v>Trix cereal</v>
      </c>
      <c r="C291" s="76"/>
      <c r="D291" s="29">
        <f ca="1">C291*INDIRECT("foodbase!c291")</f>
        <v>0</v>
      </c>
      <c r="E291" s="29">
        <f ca="1">C291*INDIRECT("foodbase!d291")</f>
        <v>0</v>
      </c>
      <c r="F291" s="29">
        <f ca="1">C291*INDIRECT("foodbase!e291")</f>
        <v>0</v>
      </c>
      <c r="G291" s="29">
        <f ca="1">C291*INDIRECT("foodbase!f291")</f>
        <v>0</v>
      </c>
    </row>
    <row r="292" spans="2:7" ht="12.75">
      <c r="B292" s="108" t="str">
        <f ca="1">INDIRECT("foodbase!a292")</f>
        <v>Trout broiled w/butter &amp; lemon</v>
      </c>
      <c r="C292" s="76"/>
      <c r="D292" s="29">
        <f ca="1">C292*INDIRECT("foodbase!c292")</f>
        <v>0</v>
      </c>
      <c r="E292" s="29">
        <f ca="1">C292*INDIRECT("foodbase!d292")</f>
        <v>0</v>
      </c>
      <c r="F292" s="29">
        <f ca="1">C292*INDIRECT("foodbase!e292")</f>
        <v>0</v>
      </c>
      <c r="G292" s="29">
        <f ca="1">C292*INDIRECT("foodbase!f292")</f>
        <v>0</v>
      </c>
    </row>
    <row r="293" spans="2:7" ht="12.75">
      <c r="B293" s="108" t="str">
        <f ca="1">INDIRECT("foodbase!a293")</f>
        <v>Tuna, oil packed</v>
      </c>
      <c r="C293" s="76"/>
      <c r="D293" s="29">
        <f ca="1">C293*INDIRECT("foodbase!c293")</f>
        <v>0</v>
      </c>
      <c r="E293" s="29">
        <f ca="1">C293*INDIRECT("foodbase!d293")</f>
        <v>0</v>
      </c>
      <c r="F293" s="29">
        <f ca="1">C293*INDIRECT("foodbase!e293")</f>
        <v>0</v>
      </c>
      <c r="G293" s="29">
        <f ca="1">C293*INDIRECT("foodbase!f293")</f>
        <v>0</v>
      </c>
    </row>
    <row r="294" spans="2:7" ht="12.75">
      <c r="B294" s="108" t="str">
        <f ca="1">INDIRECT("foodbase!a294")</f>
        <v>Turkey - Roasted whole, slices</v>
      </c>
      <c r="C294" s="76"/>
      <c r="D294" s="29">
        <f ca="1">C294*INDIRECT("foodbase!c294")</f>
        <v>0</v>
      </c>
      <c r="E294" s="29">
        <f ca="1">C294*INDIRECT("foodbase!d294")</f>
        <v>0</v>
      </c>
      <c r="F294" s="29">
        <f ca="1">C294*INDIRECT("foodbase!e294")</f>
        <v>0</v>
      </c>
      <c r="G294" s="29">
        <f ca="1">C294*INDIRECT("foodbase!f294")</f>
        <v>0</v>
      </c>
    </row>
    <row r="295" spans="2:7" ht="12.75">
      <c r="B295" s="108" t="str">
        <f ca="1">INDIRECT("foodbase!a295")</f>
        <v>Veal cutlet braised or broiled</v>
      </c>
      <c r="C295" s="76"/>
      <c r="D295" s="29">
        <f ca="1">C295*INDIRECT("foodbase!c295")</f>
        <v>0</v>
      </c>
      <c r="E295" s="29">
        <f ca="1">C295*INDIRECT("foodbase!d295")</f>
        <v>0</v>
      </c>
      <c r="F295" s="29">
        <f ca="1">C295*INDIRECT("foodbase!e295")</f>
        <v>0</v>
      </c>
      <c r="G295" s="29">
        <f ca="1">C295*INDIRECT("foodbase!f295")</f>
        <v>0</v>
      </c>
    </row>
    <row r="296" spans="2:7" ht="12.75">
      <c r="B296" s="108" t="str">
        <f ca="1">INDIRECT("foodbase!a296")</f>
        <v>Vegetable juice cocktail canned</v>
      </c>
      <c r="C296" s="76"/>
      <c r="D296" s="29">
        <f ca="1">C296*INDIRECT("foodbase!c296")</f>
        <v>0</v>
      </c>
      <c r="E296" s="29">
        <f ca="1">C296*INDIRECT("foodbase!d296")</f>
        <v>0</v>
      </c>
      <c r="F296" s="29">
        <f ca="1">C296*INDIRECT("foodbase!e296")</f>
        <v>0</v>
      </c>
      <c r="G296" s="29">
        <f ca="1">C296*INDIRECT("foodbase!f296")</f>
        <v>0</v>
      </c>
    </row>
    <row r="297" spans="2:7" ht="12.75">
      <c r="B297" s="108" t="str">
        <f ca="1">INDIRECT("foodbase!a297")</f>
        <v>Water chestnuts canned sliced</v>
      </c>
      <c r="C297" s="76"/>
      <c r="D297" s="29">
        <f ca="1">C297*INDIRECT("foodbase!c297")</f>
        <v>0</v>
      </c>
      <c r="E297" s="29">
        <f ca="1">C297*INDIRECT("foodbase!d297")</f>
        <v>0</v>
      </c>
      <c r="F297" s="29">
        <f ca="1">C297*INDIRECT("foodbase!e297")</f>
        <v>0</v>
      </c>
      <c r="G297" s="29">
        <f ca="1">C297*INDIRECT("foodbase!f297")</f>
        <v>0</v>
      </c>
    </row>
    <row r="298" spans="2:7" ht="12.75">
      <c r="B298" s="108" t="str">
        <f ca="1">INDIRECT("foodbase!a298")</f>
        <v>Wheat bread, sliced</v>
      </c>
      <c r="C298" s="76"/>
      <c r="D298" s="29">
        <f ca="1">C298*INDIRECT("foodbase!c298")</f>
        <v>0</v>
      </c>
      <c r="E298" s="29">
        <f ca="1">C298*INDIRECT("foodbase!d298")</f>
        <v>0</v>
      </c>
      <c r="F298" s="29">
        <f ca="1">C298*INDIRECT("foodbase!e298")</f>
        <v>0</v>
      </c>
      <c r="G298" s="29">
        <f ca="1">C298*INDIRECT("foodbase!f298")</f>
        <v>0</v>
      </c>
    </row>
    <row r="299" spans="2:7" ht="12.75">
      <c r="B299" s="108" t="str">
        <f ca="1">INDIRECT("foodbase!a299")</f>
        <v>Wheat cracker, thin</v>
      </c>
      <c r="C299" s="76"/>
      <c r="D299" s="29">
        <f ca="1">C299*INDIRECT("foodbase!c299")</f>
        <v>0</v>
      </c>
      <c r="E299" s="29">
        <f ca="1">C299*INDIRECT("foodbase!d299")</f>
        <v>0</v>
      </c>
      <c r="F299" s="29">
        <f ca="1">C299*INDIRECT("foodbase!e299")</f>
        <v>0</v>
      </c>
      <c r="G299" s="29">
        <f ca="1">C299*INDIRECT("foodbase!f299")</f>
        <v>0</v>
      </c>
    </row>
    <row r="300" spans="2:7" ht="12.75">
      <c r="B300" s="108" t="str">
        <f ca="1">INDIRECT("foodbase!a300")</f>
        <v>White bread, sliced</v>
      </c>
      <c r="C300" s="76"/>
      <c r="D300" s="29">
        <f ca="1">C300*INDIRECT("foodbase!c300")</f>
        <v>0</v>
      </c>
      <c r="E300" s="29">
        <f ca="1">C300*INDIRECT("foodbase!d300")</f>
        <v>0</v>
      </c>
      <c r="F300" s="29">
        <f ca="1">C300*INDIRECT("foodbase!e300")</f>
        <v>0</v>
      </c>
      <c r="G300" s="29">
        <f ca="1">C300*INDIRECT("foodbase!f300")</f>
        <v>0</v>
      </c>
    </row>
    <row r="301" spans="2:7" ht="12.75">
      <c r="B301" s="108" t="str">
        <f ca="1">INDIRECT("foodbase!a301")</f>
        <v>White rice, raw dry</v>
      </c>
      <c r="C301" s="76"/>
      <c r="D301" s="29">
        <f ca="1">C301*INDIRECT("foodbase!c301")</f>
        <v>0</v>
      </c>
      <c r="E301" s="29">
        <f ca="1">C301*INDIRECT("foodbase!d301")</f>
        <v>0</v>
      </c>
      <c r="F301" s="29">
        <f ca="1">C301*INDIRECT("foodbase!e301")</f>
        <v>0</v>
      </c>
      <c r="G301" s="29">
        <f ca="1">C301*INDIRECT("foodbase!f301")</f>
        <v>0</v>
      </c>
    </row>
    <row r="302" spans="2:7" ht="12.75">
      <c r="B302" s="108" t="str">
        <f ca="1">INDIRECT("foodbase!a302")</f>
        <v>Yellow cake</v>
      </c>
      <c r="C302" s="76"/>
      <c r="D302" s="29">
        <f ca="1">C302*INDIRECT("foodbase!c302")</f>
        <v>0</v>
      </c>
      <c r="E302" s="29">
        <f ca="1">C302*INDIRECT("foodbase!d302")</f>
        <v>0</v>
      </c>
      <c r="F302" s="29">
        <f ca="1">C302*INDIRECT("foodbase!e302")</f>
        <v>0</v>
      </c>
      <c r="G302" s="29">
        <f ca="1">C302*INDIRECT("foodbase!f302")</f>
        <v>0</v>
      </c>
    </row>
    <row r="303" spans="2:7" ht="12.75">
      <c r="B303" s="108" t="str">
        <f ca="1">INDIRECT("foodbase!a303")</f>
        <v>Yogurt lowfat fruit added</v>
      </c>
      <c r="C303" s="76"/>
      <c r="D303" s="29">
        <f ca="1">C303*INDIRECT("foodbase!c303")</f>
        <v>0</v>
      </c>
      <c r="E303" s="29">
        <f ca="1">C303*INDIRECT("foodbase!d303")</f>
        <v>0</v>
      </c>
      <c r="F303" s="29">
        <f ca="1">C303*INDIRECT("foodbase!e303")</f>
        <v>0</v>
      </c>
      <c r="G303" s="29">
        <f ca="1">C303*INDIRECT("foodbase!f303")</f>
        <v>0</v>
      </c>
    </row>
    <row r="304" spans="2:7" ht="12.75">
      <c r="B304" s="108" t="str">
        <f ca="1">INDIRECT("foodbase!a304")</f>
        <v>Yogurt whole milk</v>
      </c>
      <c r="C304" s="76"/>
      <c r="D304" s="29">
        <f ca="1">C304*INDIRECT("foodbase!c304")</f>
        <v>0</v>
      </c>
      <c r="E304" s="29">
        <f ca="1">C304*INDIRECT("foodbase!d304")</f>
        <v>0</v>
      </c>
      <c r="F304" s="29">
        <f ca="1">C304*INDIRECT("foodbase!e304")</f>
        <v>0</v>
      </c>
      <c r="G304" s="29">
        <f ca="1">C304*INDIRECT("foodbase!f304")</f>
        <v>0</v>
      </c>
    </row>
    <row r="305" spans="1:2" ht="12.75">
      <c r="A305" s="61"/>
      <c r="B305" s="109"/>
    </row>
    <row r="306" ht="12.75">
      <c r="B306" s="109"/>
    </row>
    <row r="307" ht="12.75">
      <c r="B307" s="110"/>
    </row>
    <row r="308" ht="12.75">
      <c r="B308" s="109"/>
    </row>
    <row r="309" ht="12.75">
      <c r="B309" s="109"/>
    </row>
    <row r="310" ht="12.75">
      <c r="B310" s="109"/>
    </row>
    <row r="311" ht="12.75">
      <c r="B311" s="109"/>
    </row>
    <row r="312" ht="12.75">
      <c r="B312" s="109"/>
    </row>
    <row r="313" ht="12.75">
      <c r="B313" s="109"/>
    </row>
    <row r="314" ht="12.75">
      <c r="B314" s="109"/>
    </row>
    <row r="315" ht="12.75">
      <c r="B315" s="109"/>
    </row>
    <row r="316" ht="12.75">
      <c r="B316" s="109"/>
    </row>
    <row r="317" ht="12.75">
      <c r="B317" s="109"/>
    </row>
    <row r="318" ht="12.75">
      <c r="B318" s="109"/>
    </row>
    <row r="319" ht="12.75">
      <c r="B319" s="109"/>
    </row>
    <row r="320" ht="12.75">
      <c r="B320" s="109"/>
    </row>
    <row r="321" ht="12.75">
      <c r="B321" s="109"/>
    </row>
    <row r="322" ht="12.75">
      <c r="B322" s="109"/>
    </row>
    <row r="323" ht="12.75">
      <c r="B323" s="109"/>
    </row>
    <row r="324" ht="12.75">
      <c r="B324" s="109"/>
    </row>
    <row r="325" ht="12.75">
      <c r="B325" s="109"/>
    </row>
    <row r="326" ht="12.75">
      <c r="B326" s="109"/>
    </row>
    <row r="327" ht="12.75">
      <c r="B327" s="109"/>
    </row>
    <row r="328" ht="12.75">
      <c r="B328" s="109"/>
    </row>
    <row r="329" ht="12.75">
      <c r="B329" s="109"/>
    </row>
    <row r="330" ht="12.75">
      <c r="B330" s="109"/>
    </row>
  </sheetData>
  <sheetProtection sheet="1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04"/>
  <sheetViews>
    <sheetView zoomScale="115" zoomScaleNormal="11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4.75390625" style="17" customWidth="1"/>
    <col min="2" max="2" width="6.625" style="58" customWidth="1"/>
    <col min="3" max="5" width="9.625" style="58" customWidth="1"/>
    <col min="6" max="6" width="9.625" style="18" customWidth="1"/>
  </cols>
  <sheetData>
    <row r="1" spans="1:6" ht="12.75">
      <c r="A1" s="119" t="s">
        <v>48</v>
      </c>
      <c r="B1" s="59"/>
      <c r="C1" s="84" t="s">
        <v>0</v>
      </c>
      <c r="D1" s="59" t="s">
        <v>1</v>
      </c>
      <c r="E1" s="59" t="s">
        <v>2</v>
      </c>
      <c r="F1" s="20" t="s">
        <v>119</v>
      </c>
    </row>
    <row r="2" spans="1:6" ht="12.75">
      <c r="A2" s="83"/>
      <c r="B2" s="59"/>
      <c r="C2" s="59" t="s">
        <v>11</v>
      </c>
      <c r="D2" s="59" t="s">
        <v>11</v>
      </c>
      <c r="E2" s="59" t="s">
        <v>12</v>
      </c>
      <c r="F2" s="20" t="s">
        <v>120</v>
      </c>
    </row>
    <row r="3" spans="1:6" ht="12.75">
      <c r="A3" s="21" t="s">
        <v>15</v>
      </c>
      <c r="B3" s="59" t="s">
        <v>16</v>
      </c>
      <c r="C3" s="59" t="s">
        <v>17</v>
      </c>
      <c r="D3" s="59" t="s">
        <v>17</v>
      </c>
      <c r="E3" s="59" t="s">
        <v>17</v>
      </c>
      <c r="F3" s="20" t="s">
        <v>17</v>
      </c>
    </row>
    <row r="4" spans="1:6" ht="12.75">
      <c r="A4" s="21" t="s">
        <v>18</v>
      </c>
      <c r="B4" s="59" t="s">
        <v>14</v>
      </c>
      <c r="C4" s="59" t="s">
        <v>14</v>
      </c>
      <c r="D4" s="59" t="s">
        <v>14</v>
      </c>
      <c r="E4" s="59" t="s">
        <v>19</v>
      </c>
      <c r="F4" s="20" t="s">
        <v>20</v>
      </c>
    </row>
    <row r="5" spans="1:6" s="103" customFormat="1" ht="12.75">
      <c r="A5" s="17"/>
      <c r="B5" s="58"/>
      <c r="C5" s="58"/>
      <c r="D5" s="58"/>
      <c r="E5" s="58"/>
      <c r="F5" s="19" t="s">
        <v>29</v>
      </c>
    </row>
    <row r="6" spans="1:6" s="103" customFormat="1" ht="12.75">
      <c r="A6" s="17" t="s">
        <v>122</v>
      </c>
      <c r="B6" s="58" t="s">
        <v>132</v>
      </c>
      <c r="C6" s="17">
        <v>290</v>
      </c>
      <c r="D6" s="17">
        <v>45</v>
      </c>
      <c r="E6" s="17">
        <v>24</v>
      </c>
      <c r="F6" s="19" t="s">
        <v>29</v>
      </c>
    </row>
    <row r="7" spans="1:6" s="103" customFormat="1" ht="12.75">
      <c r="A7" s="16" t="s">
        <v>92</v>
      </c>
      <c r="B7" s="58">
        <v>1</v>
      </c>
      <c r="C7" s="17">
        <v>170</v>
      </c>
      <c r="D7" s="17">
        <v>40</v>
      </c>
      <c r="E7" s="17">
        <v>4</v>
      </c>
      <c r="F7" s="18"/>
    </row>
    <row r="8" spans="1:6" s="103" customFormat="1" ht="12.75">
      <c r="A8" s="16" t="s">
        <v>93</v>
      </c>
      <c r="B8" s="60" t="s">
        <v>94</v>
      </c>
      <c r="C8" s="17">
        <v>120</v>
      </c>
      <c r="D8" s="17">
        <v>120</v>
      </c>
      <c r="E8" s="17">
        <v>0</v>
      </c>
      <c r="F8" s="19" t="s">
        <v>29</v>
      </c>
    </row>
    <row r="9" spans="1:6" s="103" customFormat="1" ht="12.75">
      <c r="A9" s="17" t="s">
        <v>124</v>
      </c>
      <c r="B9" s="58">
        <v>1</v>
      </c>
      <c r="C9" s="17">
        <v>300</v>
      </c>
      <c r="D9" s="17">
        <v>0</v>
      </c>
      <c r="E9" s="17">
        <v>12</v>
      </c>
      <c r="F9" s="19" t="s">
        <v>29</v>
      </c>
    </row>
    <row r="10" spans="1:6" s="103" customFormat="1" ht="12.75">
      <c r="A10" s="16" t="s">
        <v>166</v>
      </c>
      <c r="B10" s="60">
        <v>1</v>
      </c>
      <c r="C10" s="17">
        <v>140</v>
      </c>
      <c r="D10" s="17">
        <v>0</v>
      </c>
      <c r="E10" s="17">
        <v>0</v>
      </c>
      <c r="F10" s="19" t="s">
        <v>29</v>
      </c>
    </row>
    <row r="11" spans="1:6" s="103" customFormat="1" ht="12.75">
      <c r="A11" s="17" t="s">
        <v>165</v>
      </c>
      <c r="B11" s="58" t="s">
        <v>98</v>
      </c>
      <c r="C11" s="17">
        <v>250</v>
      </c>
      <c r="D11" s="17">
        <v>160</v>
      </c>
      <c r="E11" s="17">
        <v>10</v>
      </c>
      <c r="F11" s="19"/>
    </row>
    <row r="12" spans="1:6" s="103" customFormat="1" ht="12.75">
      <c r="A12" s="16" t="s">
        <v>97</v>
      </c>
      <c r="B12" s="58">
        <v>1</v>
      </c>
      <c r="C12" s="58">
        <v>280</v>
      </c>
      <c r="D12" s="58">
        <v>80</v>
      </c>
      <c r="E12" s="58">
        <v>24</v>
      </c>
      <c r="F12" s="19"/>
    </row>
    <row r="13" spans="1:6" s="103" customFormat="1" ht="12.75">
      <c r="A13" s="17"/>
      <c r="B13" s="58"/>
      <c r="C13" s="58"/>
      <c r="D13" s="58"/>
      <c r="E13" s="58"/>
      <c r="F13" s="19" t="s">
        <v>29</v>
      </c>
    </row>
    <row r="14" spans="1:5" ht="12.75">
      <c r="A14" s="16" t="s">
        <v>115</v>
      </c>
      <c r="B14" s="58">
        <v>1</v>
      </c>
      <c r="C14" s="58">
        <v>200</v>
      </c>
      <c r="D14" s="58">
        <v>50</v>
      </c>
      <c r="E14" s="58">
        <v>14</v>
      </c>
    </row>
    <row r="15" spans="1:5" ht="12.75">
      <c r="A15" s="43" t="s">
        <v>102</v>
      </c>
      <c r="B15" s="58" t="s">
        <v>98</v>
      </c>
      <c r="C15" s="58">
        <v>175</v>
      </c>
      <c r="D15" s="58">
        <v>0</v>
      </c>
      <c r="E15" s="58">
        <v>37</v>
      </c>
    </row>
    <row r="16" spans="1:6" ht="12.75">
      <c r="A16" s="17" t="s">
        <v>99</v>
      </c>
      <c r="B16" s="60" t="s">
        <v>100</v>
      </c>
      <c r="C16" s="58">
        <v>180</v>
      </c>
      <c r="D16" s="58">
        <v>90</v>
      </c>
      <c r="E16" s="58">
        <v>30</v>
      </c>
      <c r="F16" s="19"/>
    </row>
    <row r="17" spans="1:6" ht="12.75">
      <c r="A17" s="17" t="s">
        <v>129</v>
      </c>
      <c r="B17" s="58" t="s">
        <v>96</v>
      </c>
      <c r="C17" s="58">
        <v>200</v>
      </c>
      <c r="D17" s="58">
        <v>6</v>
      </c>
      <c r="E17" s="58">
        <v>13</v>
      </c>
      <c r="F17" s="19"/>
    </row>
    <row r="18" spans="1:6" ht="12.75">
      <c r="A18" s="43" t="s">
        <v>130</v>
      </c>
      <c r="B18" s="58" t="s">
        <v>101</v>
      </c>
      <c r="C18" s="58">
        <v>270</v>
      </c>
      <c r="D18" s="58">
        <v>0</v>
      </c>
      <c r="E18" s="58">
        <v>1</v>
      </c>
      <c r="F18" s="19"/>
    </row>
    <row r="19" spans="1:6" ht="12.75">
      <c r="A19" s="16"/>
      <c r="F19" s="19"/>
    </row>
    <row r="20" spans="1:6" ht="12.75">
      <c r="A20" s="16" t="s">
        <v>125</v>
      </c>
      <c r="B20" s="58">
        <v>1</v>
      </c>
      <c r="C20" s="58">
        <v>84</v>
      </c>
      <c r="F20" s="19"/>
    </row>
    <row r="21" spans="1:6" ht="12.75">
      <c r="A21" s="16" t="s">
        <v>128</v>
      </c>
      <c r="B21" s="58">
        <v>1</v>
      </c>
      <c r="C21" s="58">
        <v>139</v>
      </c>
      <c r="F21" s="19"/>
    </row>
    <row r="22" spans="1:6" ht="12.75">
      <c r="A22" s="16" t="s">
        <v>127</v>
      </c>
      <c r="B22" s="58" t="s">
        <v>96</v>
      </c>
      <c r="C22" s="58">
        <v>154</v>
      </c>
      <c r="F22" s="19"/>
    </row>
    <row r="23" spans="1:6" ht="12.75">
      <c r="A23" s="16" t="s">
        <v>126</v>
      </c>
      <c r="B23" s="58">
        <v>1</v>
      </c>
      <c r="C23" s="58">
        <v>63</v>
      </c>
      <c r="F23" s="19"/>
    </row>
    <row r="24" spans="1:6" ht="12.75">
      <c r="A24" s="16" t="s">
        <v>29</v>
      </c>
      <c r="F24" s="19"/>
    </row>
    <row r="25" spans="1:6" ht="12.75">
      <c r="A25" s="16" t="s">
        <v>381</v>
      </c>
      <c r="B25" s="58" t="s">
        <v>101</v>
      </c>
      <c r="C25" s="58">
        <v>200</v>
      </c>
      <c r="D25" s="58">
        <v>5</v>
      </c>
      <c r="E25" s="58">
        <v>12</v>
      </c>
      <c r="F25" s="19"/>
    </row>
    <row r="26" ht="12.75">
      <c r="A26" s="16"/>
    </row>
    <row r="27" spans="1:6" ht="12.75">
      <c r="A27" s="43" t="s">
        <v>91</v>
      </c>
      <c r="B27" s="58">
        <v>1</v>
      </c>
      <c r="C27" s="58">
        <v>240</v>
      </c>
      <c r="D27" s="58">
        <v>50</v>
      </c>
      <c r="E27" s="58">
        <v>21</v>
      </c>
      <c r="F27" s="19"/>
    </row>
    <row r="28" spans="1:6" ht="12.75">
      <c r="A28" s="16" t="s">
        <v>95</v>
      </c>
      <c r="B28" s="60" t="s">
        <v>96</v>
      </c>
      <c r="C28" s="58">
        <v>80</v>
      </c>
      <c r="D28" s="58">
        <v>0</v>
      </c>
      <c r="E28" s="58">
        <v>1</v>
      </c>
      <c r="F28" s="19"/>
    </row>
    <row r="29" spans="1:6" ht="12.75">
      <c r="A29" s="16"/>
      <c r="F29" s="19"/>
    </row>
    <row r="33" ht="12.75">
      <c r="F33" s="19"/>
    </row>
    <row r="34" ht="12.75">
      <c r="F34" s="19"/>
    </row>
    <row r="35" ht="12.75">
      <c r="F35" s="19"/>
    </row>
    <row r="36" ht="12.75">
      <c r="F36" s="19"/>
    </row>
    <row r="37" ht="12.75">
      <c r="F37" s="19"/>
    </row>
    <row r="38" ht="12.75">
      <c r="F38" s="19"/>
    </row>
    <row r="39" ht="12.75">
      <c r="F39" s="19"/>
    </row>
    <row r="42" ht="12.75">
      <c r="F42" s="19"/>
    </row>
    <row r="43" ht="12.75">
      <c r="F43" s="19"/>
    </row>
    <row r="44" ht="12.75">
      <c r="F44" s="19"/>
    </row>
    <row r="45" ht="12.75">
      <c r="F45" s="19"/>
    </row>
    <row r="46" ht="12.75">
      <c r="F46" s="19"/>
    </row>
    <row r="47" ht="12.75">
      <c r="F47" s="19"/>
    </row>
    <row r="48" ht="12.75">
      <c r="F48" s="19"/>
    </row>
    <row r="49" ht="12.75">
      <c r="F49" s="19"/>
    </row>
    <row r="50" ht="12.75">
      <c r="F50" s="19"/>
    </row>
    <row r="51" ht="12.75">
      <c r="F51" s="19"/>
    </row>
    <row r="52" ht="12.75">
      <c r="F52" s="19"/>
    </row>
    <row r="53" ht="12.75">
      <c r="F53" s="19"/>
    </row>
    <row r="54" ht="12.75">
      <c r="F54" s="19"/>
    </row>
    <row r="55" ht="12.75">
      <c r="F55" s="19"/>
    </row>
    <row r="56" ht="12.75">
      <c r="F56" s="19"/>
    </row>
    <row r="125" spans="1:5" ht="12.75">
      <c r="A125" s="99" t="s">
        <v>167</v>
      </c>
      <c r="B125" s="18" t="s">
        <v>96</v>
      </c>
      <c r="C125" s="17">
        <v>116</v>
      </c>
      <c r="D125" s="17">
        <v>2.82</v>
      </c>
      <c r="E125" s="17">
        <v>0.1</v>
      </c>
    </row>
    <row r="126" spans="1:5" ht="12.75">
      <c r="A126" s="99" t="s">
        <v>168</v>
      </c>
      <c r="B126" s="18" t="s">
        <v>169</v>
      </c>
      <c r="C126" s="17">
        <v>403</v>
      </c>
      <c r="D126" s="17">
        <v>169.2</v>
      </c>
      <c r="E126" s="17">
        <v>3</v>
      </c>
    </row>
    <row r="127" spans="1:5" ht="12.75">
      <c r="A127" s="99" t="s">
        <v>170</v>
      </c>
      <c r="B127" s="18" t="s">
        <v>171</v>
      </c>
      <c r="C127" s="17">
        <v>80</v>
      </c>
      <c r="D127" s="17">
        <v>4.7</v>
      </c>
      <c r="E127" s="17">
        <v>0.3</v>
      </c>
    </row>
    <row r="128" spans="1:5" ht="12.75">
      <c r="A128" s="99" t="s">
        <v>172</v>
      </c>
      <c r="B128" s="18" t="s">
        <v>96</v>
      </c>
      <c r="C128" s="17">
        <v>141</v>
      </c>
      <c r="D128" s="17">
        <v>1.88</v>
      </c>
      <c r="E128" s="17">
        <v>0.9</v>
      </c>
    </row>
    <row r="129" spans="1:5" ht="12.75">
      <c r="A129" s="99" t="s">
        <v>173</v>
      </c>
      <c r="B129" s="18" t="s">
        <v>174</v>
      </c>
      <c r="C129" s="17">
        <v>22</v>
      </c>
      <c r="D129" s="17">
        <v>2.82</v>
      </c>
      <c r="E129" s="17">
        <v>2.3</v>
      </c>
    </row>
    <row r="130" spans="1:5" ht="12.75">
      <c r="A130" s="99" t="s">
        <v>175</v>
      </c>
      <c r="B130" s="18" t="s">
        <v>171</v>
      </c>
      <c r="C130" s="17">
        <v>305</v>
      </c>
      <c r="D130" s="17">
        <v>282</v>
      </c>
      <c r="E130" s="17">
        <v>4</v>
      </c>
    </row>
    <row r="131" spans="1:5" ht="12.75">
      <c r="A131" s="99" t="s">
        <v>176</v>
      </c>
      <c r="B131" s="18" t="s">
        <v>171</v>
      </c>
      <c r="C131" s="17">
        <v>200</v>
      </c>
      <c r="D131" s="17">
        <v>16.92</v>
      </c>
      <c r="E131" s="17">
        <v>7.5</v>
      </c>
    </row>
    <row r="132" spans="1:5" ht="12.75">
      <c r="A132" s="99" t="s">
        <v>177</v>
      </c>
      <c r="B132" s="18" t="s">
        <v>96</v>
      </c>
      <c r="C132" s="17">
        <v>25</v>
      </c>
      <c r="D132" s="17">
        <v>4.7</v>
      </c>
      <c r="E132" s="17">
        <v>2.3</v>
      </c>
    </row>
    <row r="133" spans="1:5" ht="12.75">
      <c r="A133" s="99" t="s">
        <v>178</v>
      </c>
      <c r="B133" s="18" t="s">
        <v>171</v>
      </c>
      <c r="C133" s="17">
        <v>105</v>
      </c>
      <c r="D133" s="17">
        <v>4.7</v>
      </c>
      <c r="E133" s="17">
        <v>1.2</v>
      </c>
    </row>
    <row r="134" spans="1:5" ht="12.75">
      <c r="A134" s="99" t="s">
        <v>179</v>
      </c>
      <c r="B134" s="18" t="s">
        <v>180</v>
      </c>
      <c r="C134" s="17">
        <v>185</v>
      </c>
      <c r="D134" s="17">
        <v>65.8</v>
      </c>
      <c r="E134" s="17">
        <v>23</v>
      </c>
    </row>
    <row r="135" spans="1:5" ht="12.75">
      <c r="A135" s="99" t="s">
        <v>181</v>
      </c>
      <c r="B135" s="18" t="s">
        <v>180</v>
      </c>
      <c r="C135" s="17">
        <v>240</v>
      </c>
      <c r="D135" s="17">
        <v>141</v>
      </c>
      <c r="E135" s="17">
        <v>23</v>
      </c>
    </row>
    <row r="136" spans="1:5" ht="12.75">
      <c r="A136" s="99" t="s">
        <v>182</v>
      </c>
      <c r="B136" s="18" t="s">
        <v>183</v>
      </c>
      <c r="C136" s="17">
        <v>145</v>
      </c>
      <c r="D136" s="17">
        <v>37.6</v>
      </c>
      <c r="E136" s="17">
        <v>24</v>
      </c>
    </row>
    <row r="137" spans="1:5" ht="12.75">
      <c r="A137" s="99" t="s">
        <v>184</v>
      </c>
      <c r="B137" s="18" t="s">
        <v>96</v>
      </c>
      <c r="C137" s="17">
        <v>124</v>
      </c>
      <c r="D137" s="17">
        <v>51.7</v>
      </c>
      <c r="E137" s="17">
        <v>8.7</v>
      </c>
    </row>
    <row r="138" spans="1:5" ht="12.75">
      <c r="A138" s="99" t="s">
        <v>185</v>
      </c>
      <c r="B138" s="18" t="s">
        <v>186</v>
      </c>
      <c r="C138" s="17">
        <v>100</v>
      </c>
      <c r="D138" s="17">
        <v>0</v>
      </c>
      <c r="E138" s="17">
        <v>0.7</v>
      </c>
    </row>
    <row r="139" spans="1:5" ht="12.75">
      <c r="A139" s="99" t="s">
        <v>187</v>
      </c>
      <c r="B139" s="18" t="s">
        <v>186</v>
      </c>
      <c r="C139" s="17">
        <v>146</v>
      </c>
      <c r="D139" s="17">
        <v>0</v>
      </c>
      <c r="E139" s="17">
        <v>0.9</v>
      </c>
    </row>
    <row r="140" spans="1:5" ht="12.75">
      <c r="A140" s="99" t="s">
        <v>188</v>
      </c>
      <c r="B140" s="18" t="s">
        <v>174</v>
      </c>
      <c r="C140" s="17">
        <v>26</v>
      </c>
      <c r="D140" s="17">
        <v>0.94</v>
      </c>
      <c r="E140" s="17">
        <v>0.9</v>
      </c>
    </row>
    <row r="141" spans="1:5" ht="12.75">
      <c r="A141" s="99" t="s">
        <v>189</v>
      </c>
      <c r="B141" s="18" t="s">
        <v>96</v>
      </c>
      <c r="C141" s="17">
        <v>74</v>
      </c>
      <c r="D141" s="17">
        <v>5.64</v>
      </c>
      <c r="E141" s="17">
        <v>1</v>
      </c>
    </row>
    <row r="142" spans="1:5" ht="12.75">
      <c r="A142" s="99" t="s">
        <v>190</v>
      </c>
      <c r="B142" s="18" t="s">
        <v>96</v>
      </c>
      <c r="C142" s="17">
        <v>224</v>
      </c>
      <c r="D142" s="17">
        <v>10.34</v>
      </c>
      <c r="E142" s="17">
        <v>14.4</v>
      </c>
    </row>
    <row r="143" spans="1:5" ht="12.75">
      <c r="A143" s="99" t="s">
        <v>191</v>
      </c>
      <c r="B143" s="18" t="s">
        <v>96</v>
      </c>
      <c r="C143" s="17">
        <v>82</v>
      </c>
      <c r="D143" s="17">
        <v>5.64</v>
      </c>
      <c r="E143" s="17">
        <v>1</v>
      </c>
    </row>
    <row r="144" spans="1:5" ht="12.75">
      <c r="A144" s="99" t="s">
        <v>192</v>
      </c>
      <c r="B144" s="18" t="s">
        <v>193</v>
      </c>
      <c r="C144" s="17">
        <v>15</v>
      </c>
      <c r="D144" s="17">
        <v>9.4</v>
      </c>
      <c r="E144" s="17">
        <v>1</v>
      </c>
    </row>
    <row r="145" spans="1:5" ht="12.75">
      <c r="A145" s="99" t="s">
        <v>194</v>
      </c>
      <c r="B145" s="18" t="s">
        <v>96</v>
      </c>
      <c r="C145" s="17">
        <v>390</v>
      </c>
      <c r="D145" s="17">
        <v>47</v>
      </c>
      <c r="E145" s="17">
        <v>13</v>
      </c>
    </row>
    <row r="146" spans="1:5" ht="12.75">
      <c r="A146" s="99" t="s">
        <v>195</v>
      </c>
      <c r="B146" s="18" t="s">
        <v>196</v>
      </c>
      <c r="C146" s="17">
        <v>53</v>
      </c>
      <c r="D146" s="17">
        <v>4.7</v>
      </c>
      <c r="E146" s="17">
        <v>5.3</v>
      </c>
    </row>
    <row r="147" spans="1:5" ht="12.75">
      <c r="A147" s="99" t="s">
        <v>197</v>
      </c>
      <c r="B147" s="18" t="s">
        <v>96</v>
      </c>
      <c r="C147" s="17">
        <v>60</v>
      </c>
      <c r="D147" s="17">
        <v>7.52</v>
      </c>
      <c r="E147" s="17">
        <v>6</v>
      </c>
    </row>
    <row r="148" spans="1:5" ht="12.75">
      <c r="A148" s="99" t="s">
        <v>198</v>
      </c>
      <c r="B148" s="18" t="s">
        <v>171</v>
      </c>
      <c r="C148" s="17">
        <v>390</v>
      </c>
      <c r="D148" s="17">
        <v>164.5</v>
      </c>
      <c r="E148" s="17">
        <v>21</v>
      </c>
    </row>
    <row r="149" spans="1:5" ht="12.75">
      <c r="A149" s="99" t="s">
        <v>199</v>
      </c>
      <c r="B149" s="18" t="s">
        <v>174</v>
      </c>
      <c r="C149" s="17">
        <v>813</v>
      </c>
      <c r="D149" s="17">
        <v>864.8</v>
      </c>
      <c r="E149" s="17">
        <v>1</v>
      </c>
    </row>
    <row r="150" spans="1:5" ht="12.75">
      <c r="A150" s="99" t="s">
        <v>200</v>
      </c>
      <c r="B150" s="18" t="s">
        <v>96</v>
      </c>
      <c r="C150" s="17">
        <v>99</v>
      </c>
      <c r="D150" s="17">
        <v>20.68</v>
      </c>
      <c r="E150" s="17">
        <v>8.1</v>
      </c>
    </row>
    <row r="151" spans="1:5" ht="12.75">
      <c r="A151" s="99" t="s">
        <v>201</v>
      </c>
      <c r="B151" s="18" t="s">
        <v>202</v>
      </c>
      <c r="C151" s="17">
        <v>86</v>
      </c>
      <c r="D151" s="17">
        <v>36.66</v>
      </c>
      <c r="E151" s="17">
        <v>11.3</v>
      </c>
    </row>
    <row r="152" spans="1:5" ht="12.75">
      <c r="A152" s="99" t="s">
        <v>203</v>
      </c>
      <c r="B152" s="18" t="s">
        <v>204</v>
      </c>
      <c r="C152" s="17">
        <v>94</v>
      </c>
      <c r="D152" s="17">
        <v>6.58</v>
      </c>
      <c r="E152" s="17">
        <v>2.4</v>
      </c>
    </row>
    <row r="153" spans="1:5" ht="12.75">
      <c r="A153" s="99" t="s">
        <v>205</v>
      </c>
      <c r="B153" s="18" t="s">
        <v>186</v>
      </c>
      <c r="C153" s="17">
        <v>0</v>
      </c>
      <c r="D153" s="17">
        <v>0</v>
      </c>
      <c r="E153" s="17">
        <v>0</v>
      </c>
    </row>
    <row r="154" spans="1:5" ht="12.75">
      <c r="A154" s="99" t="s">
        <v>206</v>
      </c>
      <c r="B154" s="18" t="s">
        <v>186</v>
      </c>
      <c r="C154" s="17">
        <v>2</v>
      </c>
      <c r="D154" s="17">
        <v>0</v>
      </c>
      <c r="E154" s="17">
        <v>0.2</v>
      </c>
    </row>
    <row r="155" spans="1:5" ht="12.75">
      <c r="A155" s="99" t="s">
        <v>207</v>
      </c>
      <c r="B155" s="18" t="s">
        <v>208</v>
      </c>
      <c r="C155" s="17">
        <v>385</v>
      </c>
      <c r="D155" s="17">
        <v>197.4</v>
      </c>
      <c r="E155" s="17">
        <v>4.2</v>
      </c>
    </row>
    <row r="156" spans="1:5" ht="12.75">
      <c r="A156" s="99" t="s">
        <v>209</v>
      </c>
      <c r="B156" s="18" t="s">
        <v>210</v>
      </c>
      <c r="C156" s="17">
        <v>73</v>
      </c>
      <c r="D156" s="17">
        <v>2.82</v>
      </c>
      <c r="E156" s="17">
        <v>1.7</v>
      </c>
    </row>
    <row r="157" spans="1:5" ht="12.75">
      <c r="A157" s="99" t="s">
        <v>211</v>
      </c>
      <c r="B157" s="18" t="s">
        <v>212</v>
      </c>
      <c r="C157" s="17">
        <v>31</v>
      </c>
      <c r="D157" s="17">
        <v>0.94</v>
      </c>
      <c r="E157" s="17">
        <v>0.7</v>
      </c>
    </row>
    <row r="158" spans="1:5" ht="12.75">
      <c r="A158" s="99" t="s">
        <v>213</v>
      </c>
      <c r="B158" s="18" t="s">
        <v>174</v>
      </c>
      <c r="C158" s="17">
        <v>15</v>
      </c>
      <c r="D158" s="17">
        <v>0.94</v>
      </c>
      <c r="E158" s="17">
        <v>1.2</v>
      </c>
    </row>
    <row r="159" spans="1:5" ht="12.75">
      <c r="A159" s="99" t="s">
        <v>214</v>
      </c>
      <c r="B159" s="18" t="s">
        <v>215</v>
      </c>
      <c r="C159" s="17">
        <v>6</v>
      </c>
      <c r="D159" s="17">
        <v>0.94</v>
      </c>
      <c r="E159" s="17">
        <v>0.3</v>
      </c>
    </row>
    <row r="160" spans="1:5" ht="12.75">
      <c r="A160" s="99" t="s">
        <v>216</v>
      </c>
      <c r="B160" s="18" t="s">
        <v>217</v>
      </c>
      <c r="C160" s="17">
        <v>100</v>
      </c>
      <c r="D160" s="17">
        <v>76.14</v>
      </c>
      <c r="E160" s="17">
        <v>6.1</v>
      </c>
    </row>
    <row r="161" spans="1:5" ht="12.75">
      <c r="A161" s="99" t="s">
        <v>218</v>
      </c>
      <c r="B161" s="18" t="s">
        <v>217</v>
      </c>
      <c r="C161" s="17">
        <v>114</v>
      </c>
      <c r="D161" s="17">
        <v>88.36</v>
      </c>
      <c r="E161" s="17">
        <v>7.1</v>
      </c>
    </row>
    <row r="162" spans="1:5" ht="12.75">
      <c r="A162" s="99" t="s">
        <v>219</v>
      </c>
      <c r="B162" s="18" t="s">
        <v>217</v>
      </c>
      <c r="C162" s="17">
        <v>99</v>
      </c>
      <c r="D162" s="17">
        <v>93.06</v>
      </c>
      <c r="E162" s="17">
        <v>2.1</v>
      </c>
    </row>
    <row r="163" spans="1:5" ht="12.75">
      <c r="A163" s="99" t="s">
        <v>220</v>
      </c>
      <c r="B163" s="18" t="s">
        <v>217</v>
      </c>
      <c r="C163" s="17">
        <v>106</v>
      </c>
      <c r="D163" s="17">
        <v>80.84</v>
      </c>
      <c r="E163" s="17">
        <v>6.9</v>
      </c>
    </row>
    <row r="164" spans="1:5" ht="12.75">
      <c r="A164" s="99" t="s">
        <v>221</v>
      </c>
      <c r="B164" s="18" t="s">
        <v>217</v>
      </c>
      <c r="C164" s="17">
        <v>107</v>
      </c>
      <c r="D164" s="17">
        <v>73.32</v>
      </c>
      <c r="E164" s="17">
        <v>8</v>
      </c>
    </row>
    <row r="165" spans="1:5" ht="12.75">
      <c r="A165" s="99" t="s">
        <v>222</v>
      </c>
      <c r="B165" s="18" t="s">
        <v>223</v>
      </c>
      <c r="C165" s="17">
        <v>50</v>
      </c>
      <c r="D165" s="17">
        <v>28.2</v>
      </c>
      <c r="E165" s="17">
        <v>1</v>
      </c>
    </row>
    <row r="166" spans="1:5" ht="12.75">
      <c r="A166" s="99" t="s">
        <v>224</v>
      </c>
      <c r="B166" s="18" t="s">
        <v>217</v>
      </c>
      <c r="C166" s="17">
        <v>101</v>
      </c>
      <c r="D166" s="17">
        <v>72.38</v>
      </c>
      <c r="E166" s="17">
        <v>7.1</v>
      </c>
    </row>
    <row r="167" spans="1:5" ht="12.75">
      <c r="A167" s="99" t="s">
        <v>225</v>
      </c>
      <c r="B167" s="18" t="s">
        <v>217</v>
      </c>
      <c r="C167" s="17">
        <v>80</v>
      </c>
      <c r="D167" s="17">
        <v>54.52</v>
      </c>
      <c r="E167" s="17">
        <v>5.5</v>
      </c>
    </row>
    <row r="168" spans="1:5" ht="12.75">
      <c r="A168" s="99" t="s">
        <v>226</v>
      </c>
      <c r="B168" s="18" t="s">
        <v>223</v>
      </c>
      <c r="C168" s="17">
        <v>49</v>
      </c>
      <c r="D168" s="17">
        <v>6.58</v>
      </c>
      <c r="E168" s="17">
        <v>0.8</v>
      </c>
    </row>
    <row r="169" spans="1:5" ht="12.75">
      <c r="A169" s="99" t="s">
        <v>227</v>
      </c>
      <c r="B169" s="18" t="s">
        <v>96</v>
      </c>
      <c r="C169" s="17">
        <v>266</v>
      </c>
      <c r="D169" s="17">
        <v>97.76</v>
      </c>
      <c r="E169" s="17">
        <v>40.5</v>
      </c>
    </row>
    <row r="170" spans="1:5" ht="12.75">
      <c r="A170" s="99" t="s">
        <v>228</v>
      </c>
      <c r="B170" s="18" t="s">
        <v>171</v>
      </c>
      <c r="C170" s="17">
        <v>364</v>
      </c>
      <c r="D170" s="17">
        <v>173.9</v>
      </c>
      <c r="E170" s="17">
        <v>34.8</v>
      </c>
    </row>
    <row r="171" spans="1:5" ht="12.75">
      <c r="A171" s="99" t="s">
        <v>229</v>
      </c>
      <c r="B171" s="18" t="s">
        <v>230</v>
      </c>
      <c r="C171" s="17">
        <v>8</v>
      </c>
      <c r="D171" s="17">
        <v>3.76</v>
      </c>
      <c r="E171" s="17">
        <v>0.3</v>
      </c>
    </row>
    <row r="172" spans="1:5" ht="12.75">
      <c r="A172" s="99" t="s">
        <v>231</v>
      </c>
      <c r="B172" s="18" t="s">
        <v>232</v>
      </c>
      <c r="C172" s="17">
        <v>180</v>
      </c>
      <c r="D172" s="17">
        <v>82.72</v>
      </c>
      <c r="E172" s="17">
        <v>2.3</v>
      </c>
    </row>
    <row r="173" spans="1:5" ht="12.75">
      <c r="A173" s="99" t="s">
        <v>233</v>
      </c>
      <c r="B173" s="18" t="s">
        <v>180</v>
      </c>
      <c r="C173" s="17">
        <v>65</v>
      </c>
      <c r="D173" s="17">
        <v>9.4</v>
      </c>
      <c r="E173" s="17">
        <v>11</v>
      </c>
    </row>
    <row r="174" spans="1:5" ht="12.75">
      <c r="A174" s="99" t="s">
        <v>234</v>
      </c>
      <c r="B174" s="18" t="s">
        <v>96</v>
      </c>
      <c r="C174" s="17">
        <v>2</v>
      </c>
      <c r="D174" s="17">
        <v>0</v>
      </c>
      <c r="E174" s="17">
        <v>0.1</v>
      </c>
    </row>
    <row r="175" spans="1:5" ht="12.75">
      <c r="A175" s="99" t="s">
        <v>235</v>
      </c>
      <c r="B175" s="18" t="s">
        <v>96</v>
      </c>
      <c r="C175" s="17">
        <v>2</v>
      </c>
      <c r="D175" s="17">
        <v>0</v>
      </c>
      <c r="E175" s="17">
        <v>0.3</v>
      </c>
    </row>
    <row r="176" spans="1:5" ht="12.75">
      <c r="A176" s="99" t="s">
        <v>236</v>
      </c>
      <c r="B176" s="18" t="s">
        <v>96</v>
      </c>
      <c r="C176" s="17">
        <v>84</v>
      </c>
      <c r="D176" s="17">
        <v>29.14</v>
      </c>
      <c r="E176" s="17">
        <v>1.5</v>
      </c>
    </row>
    <row r="177" spans="1:5" ht="12.75">
      <c r="A177" s="99" t="s">
        <v>237</v>
      </c>
      <c r="B177" s="18" t="s">
        <v>217</v>
      </c>
      <c r="C177" s="17">
        <v>155</v>
      </c>
      <c r="D177" s="17">
        <v>84.6</v>
      </c>
      <c r="E177" s="17">
        <v>2</v>
      </c>
    </row>
    <row r="178" spans="1:5" ht="12.75">
      <c r="A178" s="99" t="s">
        <v>238</v>
      </c>
      <c r="B178" s="18" t="s">
        <v>239</v>
      </c>
      <c r="C178" s="17">
        <v>83</v>
      </c>
      <c r="D178" s="17">
        <v>9.4</v>
      </c>
      <c r="E178" s="17">
        <v>2.6</v>
      </c>
    </row>
    <row r="179" spans="1:5" ht="12.75">
      <c r="A179" s="99" t="s">
        <v>240</v>
      </c>
      <c r="B179" s="18" t="s">
        <v>171</v>
      </c>
      <c r="C179" s="17">
        <v>330</v>
      </c>
      <c r="D179" s="17">
        <v>188</v>
      </c>
      <c r="E179" s="17">
        <v>10</v>
      </c>
    </row>
    <row r="180" spans="1:5" ht="12.75">
      <c r="A180" s="99" t="s">
        <v>241</v>
      </c>
      <c r="B180" s="18" t="s">
        <v>96</v>
      </c>
      <c r="C180" s="17">
        <v>215</v>
      </c>
      <c r="D180" s="17">
        <v>83.66</v>
      </c>
      <c r="E180" s="17">
        <v>26.2</v>
      </c>
    </row>
    <row r="181" spans="1:5" ht="12.75">
      <c r="A181" s="99" t="s">
        <v>242</v>
      </c>
      <c r="B181" s="18" t="s">
        <v>96</v>
      </c>
      <c r="C181" s="17">
        <v>493</v>
      </c>
      <c r="D181" s="17">
        <v>453.08</v>
      </c>
      <c r="E181" s="17">
        <v>7.3</v>
      </c>
    </row>
    <row r="182" spans="1:5" ht="12.75">
      <c r="A182" s="99" t="s">
        <v>243</v>
      </c>
      <c r="B182" s="18" t="s">
        <v>171</v>
      </c>
      <c r="C182" s="17">
        <v>235</v>
      </c>
      <c r="D182" s="17">
        <v>112.8</v>
      </c>
      <c r="E182" s="17">
        <v>5</v>
      </c>
    </row>
    <row r="183" spans="1:5" ht="12.75">
      <c r="A183" s="99" t="s">
        <v>244</v>
      </c>
      <c r="B183" s="18" t="s">
        <v>245</v>
      </c>
      <c r="C183" s="17">
        <v>4</v>
      </c>
      <c r="D183" s="17">
        <v>0.94</v>
      </c>
      <c r="E183" s="17">
        <v>0.2</v>
      </c>
    </row>
    <row r="184" spans="1:5" ht="12.75">
      <c r="A184" s="99" t="s">
        <v>246</v>
      </c>
      <c r="B184" s="18" t="s">
        <v>96</v>
      </c>
      <c r="C184" s="17">
        <v>305</v>
      </c>
      <c r="D184" s="17">
        <v>141</v>
      </c>
      <c r="E184" s="17">
        <v>14</v>
      </c>
    </row>
    <row r="185" spans="1:5" ht="12.75">
      <c r="A185" s="99" t="s">
        <v>247</v>
      </c>
      <c r="B185" s="18" t="s">
        <v>96</v>
      </c>
      <c r="C185" s="17">
        <v>25</v>
      </c>
      <c r="D185" s="17">
        <v>3.76</v>
      </c>
      <c r="E185" s="17">
        <v>1.5</v>
      </c>
    </row>
    <row r="186" spans="1:5" ht="12.75">
      <c r="A186" s="99" t="s">
        <v>248</v>
      </c>
      <c r="B186" s="18" t="s">
        <v>223</v>
      </c>
      <c r="C186" s="17">
        <v>228</v>
      </c>
      <c r="D186" s="17">
        <v>3.76</v>
      </c>
      <c r="E186" s="17">
        <v>1.6</v>
      </c>
    </row>
    <row r="187" spans="1:5" ht="12.75">
      <c r="A187" s="99" t="s">
        <v>249</v>
      </c>
      <c r="B187" s="18" t="s">
        <v>250</v>
      </c>
      <c r="C187" s="17">
        <v>445</v>
      </c>
      <c r="D187" s="17">
        <v>233.12</v>
      </c>
      <c r="E187" s="17">
        <v>51.9</v>
      </c>
    </row>
    <row r="188" spans="1:5" ht="12.75">
      <c r="A188" s="99" t="s">
        <v>251</v>
      </c>
      <c r="B188" s="18" t="s">
        <v>96</v>
      </c>
      <c r="C188" s="17">
        <v>342</v>
      </c>
      <c r="D188" s="17">
        <v>178.6</v>
      </c>
      <c r="E188" s="17">
        <v>9.7</v>
      </c>
    </row>
    <row r="189" spans="1:5" ht="12.75">
      <c r="A189" s="99" t="s">
        <v>252</v>
      </c>
      <c r="B189" s="18" t="s">
        <v>96</v>
      </c>
      <c r="C189" s="17">
        <v>200</v>
      </c>
      <c r="D189" s="17">
        <v>18.8</v>
      </c>
      <c r="E189" s="17">
        <v>6.6</v>
      </c>
    </row>
    <row r="190" spans="1:5" ht="12.75">
      <c r="A190" s="99" t="s">
        <v>253</v>
      </c>
      <c r="B190" s="18" t="s">
        <v>96</v>
      </c>
      <c r="C190" s="17">
        <v>45</v>
      </c>
      <c r="D190" s="17">
        <v>3.76</v>
      </c>
      <c r="E190" s="17">
        <v>1.3</v>
      </c>
    </row>
    <row r="191" spans="1:5" ht="12.75">
      <c r="A191" s="99" t="s">
        <v>254</v>
      </c>
      <c r="B191" s="18" t="s">
        <v>171</v>
      </c>
      <c r="C191" s="17">
        <v>235</v>
      </c>
      <c r="D191" s="17">
        <v>150.4</v>
      </c>
      <c r="E191" s="17">
        <v>20</v>
      </c>
    </row>
    <row r="192" spans="1:5" ht="12.75">
      <c r="A192" s="99" t="s">
        <v>255</v>
      </c>
      <c r="B192" s="18" t="s">
        <v>171</v>
      </c>
      <c r="C192" s="17">
        <v>140</v>
      </c>
      <c r="D192" s="17">
        <v>10.34</v>
      </c>
      <c r="E192" s="17">
        <v>4.5</v>
      </c>
    </row>
    <row r="193" spans="1:5" ht="12.75">
      <c r="A193" s="99" t="s">
        <v>256</v>
      </c>
      <c r="B193" s="18" t="s">
        <v>96</v>
      </c>
      <c r="C193" s="17">
        <v>770</v>
      </c>
      <c r="D193" s="17">
        <v>697.48</v>
      </c>
      <c r="E193" s="17">
        <v>17.2</v>
      </c>
    </row>
    <row r="194" spans="1:5" ht="12.75">
      <c r="A194" s="99" t="s">
        <v>257</v>
      </c>
      <c r="B194" s="18" t="s">
        <v>258</v>
      </c>
      <c r="C194" s="17">
        <v>140</v>
      </c>
      <c r="D194" s="17">
        <v>56.4</v>
      </c>
      <c r="E194" s="17">
        <v>12</v>
      </c>
    </row>
    <row r="195" spans="1:5" ht="12.75">
      <c r="A195" s="99" t="s">
        <v>259</v>
      </c>
      <c r="B195" s="18" t="s">
        <v>171</v>
      </c>
      <c r="C195" s="17">
        <v>145</v>
      </c>
      <c r="D195" s="17">
        <v>123.14</v>
      </c>
      <c r="E195" s="17">
        <v>5.1</v>
      </c>
    </row>
    <row r="196" spans="1:5" ht="12.75">
      <c r="A196" s="99" t="s">
        <v>260</v>
      </c>
      <c r="B196" s="18" t="s">
        <v>171</v>
      </c>
      <c r="C196" s="17">
        <v>102</v>
      </c>
      <c r="D196" s="17">
        <v>78.02</v>
      </c>
      <c r="E196" s="17">
        <v>6.4</v>
      </c>
    </row>
    <row r="197" spans="1:5" ht="12.75">
      <c r="A197" s="99" t="s">
        <v>261</v>
      </c>
      <c r="B197" s="18" t="s">
        <v>262</v>
      </c>
      <c r="C197" s="17">
        <v>158</v>
      </c>
      <c r="D197" s="17">
        <v>78.02</v>
      </c>
      <c r="E197" s="17">
        <v>2</v>
      </c>
    </row>
    <row r="198" spans="1:5" ht="12.75">
      <c r="A198" s="99" t="s">
        <v>263</v>
      </c>
      <c r="B198" s="18" t="s">
        <v>262</v>
      </c>
      <c r="C198" s="17">
        <v>111</v>
      </c>
      <c r="D198" s="17">
        <v>41.36</v>
      </c>
      <c r="E198" s="17">
        <v>1.7</v>
      </c>
    </row>
    <row r="199" spans="1:5" ht="12.75">
      <c r="A199" s="99" t="s">
        <v>264</v>
      </c>
      <c r="B199" s="18" t="s">
        <v>265</v>
      </c>
      <c r="C199" s="17">
        <v>97</v>
      </c>
      <c r="D199" s="17">
        <v>0</v>
      </c>
      <c r="E199" s="17">
        <v>0</v>
      </c>
    </row>
    <row r="200" spans="1:5" ht="12.75">
      <c r="A200" s="99" t="s">
        <v>266</v>
      </c>
      <c r="B200" s="18" t="s">
        <v>169</v>
      </c>
      <c r="C200" s="17">
        <v>262</v>
      </c>
      <c r="D200" s="17">
        <v>61.1</v>
      </c>
      <c r="E200" s="17">
        <v>3</v>
      </c>
    </row>
    <row r="201" spans="1:5" ht="12.75">
      <c r="A201" s="99" t="s">
        <v>267</v>
      </c>
      <c r="B201" s="18" t="s">
        <v>258</v>
      </c>
      <c r="C201" s="17">
        <v>60</v>
      </c>
      <c r="D201" s="17">
        <v>14.1</v>
      </c>
      <c r="E201" s="17">
        <v>1</v>
      </c>
    </row>
    <row r="202" spans="1:5" ht="12.75">
      <c r="A202" s="99" t="s">
        <v>268</v>
      </c>
      <c r="B202" s="18" t="s">
        <v>96</v>
      </c>
      <c r="C202" s="17">
        <v>112</v>
      </c>
      <c r="D202" s="17">
        <v>0</v>
      </c>
      <c r="E202" s="17">
        <v>0</v>
      </c>
    </row>
    <row r="203" spans="1:5" ht="12.75">
      <c r="A203" s="99" t="s">
        <v>269</v>
      </c>
      <c r="B203" s="18" t="s">
        <v>174</v>
      </c>
      <c r="C203" s="17">
        <v>202</v>
      </c>
      <c r="D203" s="17">
        <v>1.88</v>
      </c>
      <c r="E203" s="17">
        <v>6.6</v>
      </c>
    </row>
    <row r="204" spans="1:5" ht="12.75">
      <c r="A204" s="99" t="s">
        <v>270</v>
      </c>
      <c r="B204" s="18" t="s">
        <v>180</v>
      </c>
      <c r="C204" s="17">
        <v>230</v>
      </c>
      <c r="D204" s="17">
        <v>150.4</v>
      </c>
      <c r="E204" s="17">
        <v>21</v>
      </c>
    </row>
    <row r="205" spans="1:5" ht="12.75">
      <c r="A205" s="99" t="s">
        <v>271</v>
      </c>
      <c r="B205" s="18" t="s">
        <v>180</v>
      </c>
      <c r="C205" s="17">
        <v>245</v>
      </c>
      <c r="D205" s="17">
        <v>167.32</v>
      </c>
      <c r="E205" s="17">
        <v>20</v>
      </c>
    </row>
    <row r="206" spans="1:5" ht="12.75">
      <c r="A206" s="99" t="s">
        <v>272</v>
      </c>
      <c r="B206" s="18" t="s">
        <v>208</v>
      </c>
      <c r="C206" s="17">
        <v>70</v>
      </c>
      <c r="D206" s="17">
        <v>60.16</v>
      </c>
      <c r="E206" s="17">
        <v>2.6</v>
      </c>
    </row>
    <row r="207" spans="1:5" ht="12.75">
      <c r="A207" s="99" t="s">
        <v>273</v>
      </c>
      <c r="B207" s="18" t="s">
        <v>208</v>
      </c>
      <c r="C207" s="17">
        <v>45</v>
      </c>
      <c r="D207" s="17">
        <v>0.94</v>
      </c>
      <c r="E207" s="17">
        <v>0.6</v>
      </c>
    </row>
    <row r="208" spans="1:5" ht="12.75">
      <c r="A208" s="99" t="s">
        <v>274</v>
      </c>
      <c r="B208" s="18" t="s">
        <v>96</v>
      </c>
      <c r="C208" s="17">
        <v>269</v>
      </c>
      <c r="D208" s="17">
        <v>135.36</v>
      </c>
      <c r="E208" s="17">
        <v>4.8</v>
      </c>
    </row>
    <row r="209" spans="1:5" ht="12.75">
      <c r="A209" s="99" t="s">
        <v>275</v>
      </c>
      <c r="B209" s="18" t="s">
        <v>96</v>
      </c>
      <c r="C209" s="17">
        <v>183</v>
      </c>
      <c r="D209" s="17">
        <v>52.64</v>
      </c>
      <c r="E209" s="17">
        <v>5.1</v>
      </c>
    </row>
    <row r="210" spans="1:5" ht="12.75">
      <c r="A210" s="99" t="s">
        <v>276</v>
      </c>
      <c r="B210" s="18" t="s">
        <v>96</v>
      </c>
      <c r="C210" s="17">
        <v>160</v>
      </c>
      <c r="D210" s="17">
        <v>42.3</v>
      </c>
      <c r="E210" s="17">
        <v>9.3</v>
      </c>
    </row>
    <row r="211" spans="1:5" ht="12.75">
      <c r="A211" s="99" t="s">
        <v>277</v>
      </c>
      <c r="B211" s="18" t="s">
        <v>278</v>
      </c>
      <c r="C211" s="17">
        <v>220</v>
      </c>
      <c r="D211" s="17">
        <v>141</v>
      </c>
      <c r="E211" s="17">
        <v>20</v>
      </c>
    </row>
    <row r="212" spans="1:5" ht="12.75">
      <c r="A212" s="99" t="s">
        <v>279</v>
      </c>
      <c r="B212" s="18" t="s">
        <v>180</v>
      </c>
      <c r="C212" s="17">
        <v>205</v>
      </c>
      <c r="D212" s="17">
        <v>122.2</v>
      </c>
      <c r="E212" s="17">
        <v>22</v>
      </c>
    </row>
    <row r="213" spans="1:5" ht="12.75">
      <c r="A213" s="99" t="s">
        <v>280</v>
      </c>
      <c r="B213" s="18" t="s">
        <v>281</v>
      </c>
      <c r="C213" s="17">
        <v>453</v>
      </c>
      <c r="D213" s="17">
        <v>479.4</v>
      </c>
      <c r="E213" s="17">
        <v>0</v>
      </c>
    </row>
    <row r="214" spans="1:5" ht="12.75">
      <c r="A214" s="99" t="s">
        <v>282</v>
      </c>
      <c r="B214" s="18" t="s">
        <v>210</v>
      </c>
      <c r="C214" s="17">
        <v>397</v>
      </c>
      <c r="D214" s="17">
        <v>3.76</v>
      </c>
      <c r="E214" s="17">
        <v>0.6</v>
      </c>
    </row>
    <row r="215" spans="1:5" ht="12.75">
      <c r="A215" s="99" t="s">
        <v>283</v>
      </c>
      <c r="B215" s="18" t="s">
        <v>284</v>
      </c>
      <c r="C215" s="17">
        <v>21</v>
      </c>
      <c r="D215" s="17">
        <v>3.76</v>
      </c>
      <c r="E215" s="17">
        <v>2.1</v>
      </c>
    </row>
    <row r="216" spans="1:5" ht="12.75">
      <c r="A216" s="99" t="s">
        <v>285</v>
      </c>
      <c r="B216" s="18" t="s">
        <v>174</v>
      </c>
      <c r="C216" s="17">
        <v>85</v>
      </c>
      <c r="D216" s="17">
        <v>2.82</v>
      </c>
      <c r="E216" s="17">
        <v>5.2</v>
      </c>
    </row>
    <row r="217" spans="1:5" ht="12.75">
      <c r="A217" s="99" t="s">
        <v>286</v>
      </c>
      <c r="B217" s="18" t="s">
        <v>96</v>
      </c>
      <c r="C217" s="17">
        <v>125</v>
      </c>
      <c r="D217" s="17">
        <v>11.28</v>
      </c>
      <c r="E217" s="17">
        <v>2.9</v>
      </c>
    </row>
    <row r="218" spans="1:5" ht="12.75">
      <c r="A218" s="99" t="s">
        <v>287</v>
      </c>
      <c r="B218" s="18" t="s">
        <v>96</v>
      </c>
      <c r="C218" s="17">
        <v>190</v>
      </c>
      <c r="D218" s="17">
        <v>6.58</v>
      </c>
      <c r="E218" s="17">
        <v>6.5</v>
      </c>
    </row>
    <row r="219" spans="1:5" ht="12.75">
      <c r="A219" s="99" t="s">
        <v>288</v>
      </c>
      <c r="B219" s="18" t="s">
        <v>171</v>
      </c>
      <c r="C219" s="17">
        <v>135</v>
      </c>
      <c r="D219" s="17">
        <v>5.64</v>
      </c>
      <c r="E219" s="17">
        <v>1.1</v>
      </c>
    </row>
    <row r="220" spans="1:5" ht="12.75">
      <c r="A220" s="99" t="s">
        <v>289</v>
      </c>
      <c r="B220" s="18" t="s">
        <v>174</v>
      </c>
      <c r="C220" s="17">
        <v>812</v>
      </c>
      <c r="D220" s="17">
        <v>855.4</v>
      </c>
      <c r="E220" s="17">
        <v>1</v>
      </c>
    </row>
    <row r="221" spans="1:5" ht="12.75">
      <c r="A221" s="99" t="s">
        <v>290</v>
      </c>
      <c r="B221" s="18" t="s">
        <v>174</v>
      </c>
      <c r="C221" s="17">
        <v>610</v>
      </c>
      <c r="D221" s="17">
        <v>645.78</v>
      </c>
      <c r="E221" s="17">
        <v>0.7</v>
      </c>
    </row>
    <row r="222" spans="1:5" ht="12.75">
      <c r="A222" s="99" t="s">
        <v>291</v>
      </c>
      <c r="B222" s="18" t="s">
        <v>232</v>
      </c>
      <c r="C222" s="17">
        <v>90</v>
      </c>
      <c r="D222" s="17">
        <v>0</v>
      </c>
      <c r="E222" s="17">
        <v>0.6</v>
      </c>
    </row>
    <row r="223" spans="1:5" ht="12.75">
      <c r="A223" s="99" t="s">
        <v>292</v>
      </c>
      <c r="B223" s="18" t="s">
        <v>208</v>
      </c>
      <c r="C223" s="17">
        <v>20</v>
      </c>
      <c r="D223" s="17">
        <v>2.82</v>
      </c>
      <c r="E223" s="17">
        <v>1</v>
      </c>
    </row>
    <row r="224" spans="1:5" ht="12.75">
      <c r="A224" s="99" t="s">
        <v>293</v>
      </c>
      <c r="B224" s="18" t="s">
        <v>96</v>
      </c>
      <c r="C224" s="17">
        <v>121</v>
      </c>
      <c r="D224" s="17">
        <v>45.12</v>
      </c>
      <c r="E224" s="17">
        <v>8.1</v>
      </c>
    </row>
    <row r="225" spans="1:5" ht="12.75">
      <c r="A225" s="99" t="s">
        <v>294</v>
      </c>
      <c r="B225" s="18" t="s">
        <v>96</v>
      </c>
      <c r="C225" s="17">
        <v>150</v>
      </c>
      <c r="D225" s="17">
        <v>76.14</v>
      </c>
      <c r="E225" s="17">
        <v>8</v>
      </c>
    </row>
    <row r="226" spans="1:5" ht="12.75">
      <c r="A226" s="99" t="s">
        <v>295</v>
      </c>
      <c r="B226" s="18" t="s">
        <v>208</v>
      </c>
      <c r="C226" s="17">
        <v>65</v>
      </c>
      <c r="D226" s="17">
        <v>8.46</v>
      </c>
      <c r="E226" s="17">
        <v>2</v>
      </c>
    </row>
    <row r="227" spans="1:5" ht="12.75">
      <c r="A227" s="99" t="s">
        <v>296</v>
      </c>
      <c r="B227" s="18" t="s">
        <v>171</v>
      </c>
      <c r="C227" s="17">
        <v>140</v>
      </c>
      <c r="D227" s="17">
        <v>46.06</v>
      </c>
      <c r="E227" s="17">
        <v>2.7</v>
      </c>
    </row>
    <row r="228" spans="1:5" ht="12.75">
      <c r="A228" s="99" t="s">
        <v>297</v>
      </c>
      <c r="B228" s="18" t="s">
        <v>174</v>
      </c>
      <c r="C228" s="17">
        <v>9</v>
      </c>
      <c r="D228" s="17">
        <v>0.94</v>
      </c>
      <c r="E228" s="17">
        <v>0.7</v>
      </c>
    </row>
    <row r="229" spans="1:5" ht="12.75">
      <c r="A229" s="99" t="s">
        <v>298</v>
      </c>
      <c r="B229" s="18" t="s">
        <v>171</v>
      </c>
      <c r="C229" s="17">
        <v>67</v>
      </c>
      <c r="D229" s="17">
        <v>5.64</v>
      </c>
      <c r="E229" s="17">
        <v>1.3</v>
      </c>
    </row>
    <row r="230" spans="1:5" ht="12.75">
      <c r="A230" s="99" t="s">
        <v>299</v>
      </c>
      <c r="B230" s="18" t="s">
        <v>281</v>
      </c>
      <c r="C230" s="17">
        <v>482</v>
      </c>
      <c r="D230" s="17">
        <v>507.6</v>
      </c>
      <c r="E230" s="17">
        <v>0</v>
      </c>
    </row>
    <row r="231" spans="1:5" ht="12.75">
      <c r="A231" s="99" t="s">
        <v>300</v>
      </c>
      <c r="B231" s="18" t="s">
        <v>281</v>
      </c>
      <c r="C231" s="17">
        <v>477</v>
      </c>
      <c r="D231" s="17">
        <v>507.6</v>
      </c>
      <c r="E231" s="17">
        <v>0</v>
      </c>
    </row>
    <row r="232" spans="1:5" ht="12.75">
      <c r="A232" s="99" t="s">
        <v>301</v>
      </c>
      <c r="B232" s="18" t="s">
        <v>281</v>
      </c>
      <c r="C232" s="17">
        <v>477</v>
      </c>
      <c r="D232" s="17">
        <v>507.6</v>
      </c>
      <c r="E232" s="17">
        <v>0</v>
      </c>
    </row>
    <row r="233" spans="1:5" ht="12.75">
      <c r="A233" s="99" t="s">
        <v>302</v>
      </c>
      <c r="B233" s="18" t="s">
        <v>96</v>
      </c>
      <c r="C233" s="17">
        <v>54</v>
      </c>
      <c r="D233" s="17">
        <v>3.76</v>
      </c>
      <c r="E233" s="17">
        <v>1.9</v>
      </c>
    </row>
    <row r="234" spans="1:5" ht="12.75">
      <c r="A234" s="99" t="s">
        <v>303</v>
      </c>
      <c r="B234" s="18" t="s">
        <v>186</v>
      </c>
      <c r="C234" s="17">
        <v>177</v>
      </c>
      <c r="D234" s="17">
        <v>0</v>
      </c>
      <c r="E234" s="17">
        <v>0</v>
      </c>
    </row>
    <row r="235" spans="1:5" ht="12.75">
      <c r="A235" s="99" t="s">
        <v>304</v>
      </c>
      <c r="B235" s="18" t="s">
        <v>96</v>
      </c>
      <c r="C235" s="17">
        <v>111</v>
      </c>
      <c r="D235" s="17">
        <v>4.7</v>
      </c>
      <c r="E235" s="17">
        <v>1.7</v>
      </c>
    </row>
    <row r="236" spans="1:5" ht="12.75">
      <c r="A236" s="99" t="s">
        <v>305</v>
      </c>
      <c r="B236" s="18" t="s">
        <v>96</v>
      </c>
      <c r="C236" s="17">
        <v>160</v>
      </c>
      <c r="D236" s="17">
        <v>47</v>
      </c>
      <c r="E236" s="17">
        <v>21</v>
      </c>
    </row>
    <row r="237" spans="1:5" ht="12.75">
      <c r="A237" s="99" t="s">
        <v>306</v>
      </c>
      <c r="B237" s="18" t="s">
        <v>96</v>
      </c>
      <c r="C237" s="17">
        <v>160</v>
      </c>
      <c r="D237" s="17">
        <v>37.6</v>
      </c>
      <c r="E237" s="17">
        <v>20</v>
      </c>
    </row>
    <row r="238" spans="1:5" ht="12.75">
      <c r="A238" s="99" t="s">
        <v>307</v>
      </c>
      <c r="B238" s="18" t="s">
        <v>208</v>
      </c>
      <c r="C238" s="17">
        <v>405</v>
      </c>
      <c r="D238" s="17">
        <v>164.5</v>
      </c>
      <c r="E238" s="17">
        <v>33.5</v>
      </c>
    </row>
    <row r="239" spans="1:5" ht="12.75">
      <c r="A239" s="99" t="s">
        <v>308</v>
      </c>
      <c r="B239" s="18" t="s">
        <v>96</v>
      </c>
      <c r="C239" s="17">
        <v>109</v>
      </c>
      <c r="D239" s="17">
        <v>0.94</v>
      </c>
      <c r="E239" s="17">
        <v>1.6</v>
      </c>
    </row>
    <row r="240" spans="1:5" ht="12.75">
      <c r="A240" s="99" t="s">
        <v>309</v>
      </c>
      <c r="B240" s="18" t="s">
        <v>171</v>
      </c>
      <c r="C240" s="17">
        <v>37</v>
      </c>
      <c r="D240" s="17">
        <v>0.94</v>
      </c>
      <c r="E240" s="17">
        <v>0.6</v>
      </c>
    </row>
    <row r="241" spans="1:5" ht="12.75">
      <c r="A241" s="99" t="s">
        <v>310</v>
      </c>
      <c r="B241" s="18" t="s">
        <v>94</v>
      </c>
      <c r="C241" s="17">
        <v>95</v>
      </c>
      <c r="D241" s="17">
        <v>77.08</v>
      </c>
      <c r="E241" s="17">
        <v>4.6</v>
      </c>
    </row>
    <row r="242" spans="1:5" ht="12.75">
      <c r="A242" s="99" t="s">
        <v>311</v>
      </c>
      <c r="B242" s="18" t="s">
        <v>171</v>
      </c>
      <c r="C242" s="17">
        <v>98</v>
      </c>
      <c r="D242" s="17">
        <v>6.58</v>
      </c>
      <c r="E242" s="17">
        <v>0.7</v>
      </c>
    </row>
    <row r="243" spans="1:5" ht="12.75">
      <c r="A243" s="99" t="s">
        <v>312</v>
      </c>
      <c r="B243" s="18" t="s">
        <v>174</v>
      </c>
      <c r="C243" s="17">
        <v>59</v>
      </c>
      <c r="D243" s="17">
        <v>2.82</v>
      </c>
      <c r="E243" s="17">
        <v>3.8</v>
      </c>
    </row>
    <row r="244" spans="1:5" ht="12.75">
      <c r="A244" s="99" t="s">
        <v>313</v>
      </c>
      <c r="B244" s="18" t="s">
        <v>230</v>
      </c>
      <c r="C244" s="17">
        <v>5</v>
      </c>
      <c r="D244" s="17">
        <v>0.94</v>
      </c>
      <c r="E244" s="17">
        <v>0.2</v>
      </c>
    </row>
    <row r="245" spans="1:5" ht="12.75">
      <c r="A245" s="99" t="s">
        <v>314</v>
      </c>
      <c r="B245" s="18" t="s">
        <v>315</v>
      </c>
      <c r="C245" s="17">
        <v>5</v>
      </c>
      <c r="D245" s="17">
        <v>0.94</v>
      </c>
      <c r="E245" s="17">
        <v>0.5</v>
      </c>
    </row>
    <row r="246" spans="1:5" ht="12.75">
      <c r="A246" s="99" t="s">
        <v>316</v>
      </c>
      <c r="B246" s="18" t="s">
        <v>217</v>
      </c>
      <c r="C246" s="17">
        <v>161</v>
      </c>
      <c r="D246" s="17">
        <v>162.62</v>
      </c>
      <c r="E246" s="17">
        <v>3.3</v>
      </c>
    </row>
    <row r="247" spans="1:5" ht="12.75">
      <c r="A247" s="99" t="s">
        <v>317</v>
      </c>
      <c r="B247" s="18" t="s">
        <v>96</v>
      </c>
      <c r="C247" s="17">
        <v>76</v>
      </c>
      <c r="D247" s="17">
        <v>6.58</v>
      </c>
      <c r="E247" s="17">
        <v>0.6</v>
      </c>
    </row>
    <row r="248" spans="1:5" ht="12.75">
      <c r="A248" s="99" t="s">
        <v>318</v>
      </c>
      <c r="B248" s="18" t="s">
        <v>96</v>
      </c>
      <c r="C248" s="17">
        <v>140</v>
      </c>
      <c r="D248" s="17">
        <v>1.88</v>
      </c>
      <c r="E248" s="17">
        <v>0.8</v>
      </c>
    </row>
    <row r="249" spans="1:5" ht="12.75">
      <c r="A249" s="99" t="s">
        <v>319</v>
      </c>
      <c r="B249" s="18" t="s">
        <v>96</v>
      </c>
      <c r="C249" s="17">
        <v>265</v>
      </c>
      <c r="D249" s="17">
        <v>7.52</v>
      </c>
      <c r="E249" s="17">
        <v>15</v>
      </c>
    </row>
    <row r="250" spans="1:5" ht="12.75">
      <c r="A250" s="99" t="s">
        <v>320</v>
      </c>
      <c r="B250" s="18" t="s">
        <v>96</v>
      </c>
      <c r="C250" s="17">
        <v>179</v>
      </c>
      <c r="D250" s="17">
        <v>2.82</v>
      </c>
      <c r="E250" s="17">
        <v>1.2</v>
      </c>
    </row>
    <row r="251" spans="1:5" ht="12.75">
      <c r="A251" s="99" t="s">
        <v>321</v>
      </c>
      <c r="B251" s="18" t="s">
        <v>322</v>
      </c>
      <c r="C251" s="17">
        <v>55</v>
      </c>
      <c r="D251" s="17">
        <v>0.94</v>
      </c>
      <c r="E251" s="17">
        <v>0.5</v>
      </c>
    </row>
    <row r="252" spans="1:5" ht="12.75">
      <c r="A252" s="99" t="s">
        <v>323</v>
      </c>
      <c r="B252" s="18" t="s">
        <v>96</v>
      </c>
      <c r="C252" s="17">
        <v>30</v>
      </c>
      <c r="D252" s="17">
        <v>3.76</v>
      </c>
      <c r="E252" s="17">
        <v>1</v>
      </c>
    </row>
    <row r="253" spans="1:5" ht="12.75">
      <c r="A253" s="99" t="s">
        <v>324</v>
      </c>
      <c r="B253" s="18" t="s">
        <v>325</v>
      </c>
      <c r="C253" s="17">
        <v>275</v>
      </c>
      <c r="D253" s="17">
        <v>180.48</v>
      </c>
      <c r="E253" s="17">
        <v>23.9</v>
      </c>
    </row>
    <row r="254" spans="1:5" ht="12.75">
      <c r="A254" s="99" t="s">
        <v>326</v>
      </c>
      <c r="B254" s="18" t="s">
        <v>327</v>
      </c>
      <c r="C254" s="17">
        <v>109</v>
      </c>
      <c r="D254" s="17">
        <v>87.42</v>
      </c>
      <c r="E254" s="17">
        <v>5.8</v>
      </c>
    </row>
    <row r="255" spans="1:5" ht="12.75">
      <c r="A255" s="99" t="s">
        <v>328</v>
      </c>
      <c r="B255" s="18" t="s">
        <v>180</v>
      </c>
      <c r="C255" s="17">
        <v>270</v>
      </c>
      <c r="D255" s="17">
        <v>188</v>
      </c>
      <c r="E255" s="17">
        <v>21</v>
      </c>
    </row>
    <row r="256" spans="1:5" ht="12.75">
      <c r="A256" s="99" t="s">
        <v>329</v>
      </c>
      <c r="B256" s="18" t="s">
        <v>330</v>
      </c>
      <c r="C256" s="17">
        <v>148</v>
      </c>
      <c r="D256" s="17">
        <v>94.94</v>
      </c>
      <c r="E256" s="17">
        <v>1.8</v>
      </c>
    </row>
    <row r="257" spans="1:5" ht="12.75">
      <c r="A257" s="99" t="s">
        <v>331</v>
      </c>
      <c r="B257" s="18" t="s">
        <v>96</v>
      </c>
      <c r="C257" s="17">
        <v>162</v>
      </c>
      <c r="D257" s="17">
        <v>11.28</v>
      </c>
      <c r="E257" s="17">
        <v>4.1</v>
      </c>
    </row>
    <row r="258" spans="1:5" ht="12.75">
      <c r="A258" s="99" t="s">
        <v>332</v>
      </c>
      <c r="B258" s="18" t="s">
        <v>223</v>
      </c>
      <c r="C258" s="17">
        <v>10</v>
      </c>
      <c r="D258" s="17">
        <v>0.94</v>
      </c>
      <c r="E258" s="17">
        <v>0.3</v>
      </c>
    </row>
    <row r="259" spans="1:5" ht="12.75">
      <c r="A259" s="99" t="s">
        <v>333</v>
      </c>
      <c r="B259" s="18" t="s">
        <v>96</v>
      </c>
      <c r="C259" s="17">
        <v>181</v>
      </c>
      <c r="D259" s="17">
        <v>0.94</v>
      </c>
      <c r="E259" s="17">
        <v>1.6</v>
      </c>
    </row>
    <row r="260" spans="1:5" ht="12.75">
      <c r="A260" s="99" t="s">
        <v>334</v>
      </c>
      <c r="B260" s="18" t="s">
        <v>335</v>
      </c>
      <c r="C260" s="17">
        <v>205</v>
      </c>
      <c r="D260" s="17">
        <v>103.4</v>
      </c>
      <c r="E260" s="17">
        <v>3</v>
      </c>
    </row>
    <row r="261" spans="1:5" ht="12.75">
      <c r="A261" s="99" t="s">
        <v>336</v>
      </c>
      <c r="B261" s="18" t="s">
        <v>208</v>
      </c>
      <c r="C261" s="17">
        <v>68</v>
      </c>
      <c r="D261" s="17">
        <v>9.4</v>
      </c>
      <c r="E261" s="17">
        <v>1.9</v>
      </c>
    </row>
    <row r="262" spans="1:5" ht="12.75">
      <c r="A262" s="99" t="s">
        <v>337</v>
      </c>
      <c r="B262" s="18" t="s">
        <v>96</v>
      </c>
      <c r="C262" s="17">
        <v>435</v>
      </c>
      <c r="D262" s="17">
        <v>6.58</v>
      </c>
      <c r="E262" s="17">
        <v>4.7</v>
      </c>
    </row>
    <row r="263" spans="1:5" ht="12.75">
      <c r="A263" s="99" t="s">
        <v>338</v>
      </c>
      <c r="B263" s="18" t="s">
        <v>171</v>
      </c>
      <c r="C263" s="17">
        <v>16</v>
      </c>
      <c r="D263" s="17">
        <v>0</v>
      </c>
      <c r="E263" s="17">
        <v>3.4</v>
      </c>
    </row>
    <row r="264" spans="1:5" ht="12.75">
      <c r="A264" s="99" t="s">
        <v>339</v>
      </c>
      <c r="B264" s="18" t="s">
        <v>171</v>
      </c>
      <c r="C264" s="17">
        <v>79</v>
      </c>
      <c r="D264" s="17">
        <v>52.64</v>
      </c>
      <c r="E264" s="17">
        <v>6.1</v>
      </c>
    </row>
    <row r="265" spans="1:5" ht="12.75">
      <c r="A265" s="99" t="s">
        <v>340</v>
      </c>
      <c r="B265" s="18" t="s">
        <v>171</v>
      </c>
      <c r="C265" s="17">
        <v>63</v>
      </c>
      <c r="D265" s="17">
        <v>52.64</v>
      </c>
      <c r="E265" s="17">
        <v>2.8</v>
      </c>
    </row>
    <row r="266" spans="1:5" ht="12.75">
      <c r="A266" s="99" t="s">
        <v>341</v>
      </c>
      <c r="B266" s="18" t="s">
        <v>96</v>
      </c>
      <c r="C266" s="17">
        <v>279</v>
      </c>
      <c r="D266" s="17">
        <v>0.94</v>
      </c>
      <c r="E266" s="17">
        <v>0.9</v>
      </c>
    </row>
    <row r="267" spans="1:5" ht="12.75">
      <c r="A267" s="99" t="s">
        <v>342</v>
      </c>
      <c r="B267" s="18" t="s">
        <v>96</v>
      </c>
      <c r="C267" s="17">
        <v>232</v>
      </c>
      <c r="D267" s="17">
        <v>11.28</v>
      </c>
      <c r="E267" s="17">
        <v>4.9</v>
      </c>
    </row>
    <row r="268" spans="1:5" ht="12.75">
      <c r="A268" s="99" t="s">
        <v>343</v>
      </c>
      <c r="B268" s="18" t="s">
        <v>186</v>
      </c>
      <c r="C268" s="17">
        <v>152</v>
      </c>
      <c r="D268" s="17">
        <v>0</v>
      </c>
      <c r="E268" s="17">
        <v>0.1</v>
      </c>
    </row>
    <row r="269" spans="1:5" ht="12.75">
      <c r="A269" s="99" t="s">
        <v>344</v>
      </c>
      <c r="B269" s="18" t="s">
        <v>258</v>
      </c>
      <c r="C269" s="17">
        <v>55</v>
      </c>
      <c r="D269" s="17">
        <v>9.4</v>
      </c>
      <c r="E269" s="17">
        <v>1</v>
      </c>
    </row>
    <row r="270" spans="1:5" ht="12.75">
      <c r="A270" s="99" t="s">
        <v>345</v>
      </c>
      <c r="B270" s="18" t="s">
        <v>208</v>
      </c>
      <c r="C270" s="17">
        <v>65</v>
      </c>
      <c r="D270" s="17">
        <v>8.46</v>
      </c>
      <c r="E270" s="17">
        <v>2.1</v>
      </c>
    </row>
    <row r="271" spans="1:5" ht="12.75">
      <c r="A271" s="99" t="s">
        <v>346</v>
      </c>
      <c r="B271" s="18" t="s">
        <v>281</v>
      </c>
      <c r="C271" s="17">
        <v>482</v>
      </c>
      <c r="D271" s="17">
        <v>507.6</v>
      </c>
      <c r="E271" s="17">
        <v>0</v>
      </c>
    </row>
    <row r="272" spans="1:5" ht="12.75">
      <c r="A272" s="99" t="s">
        <v>347</v>
      </c>
      <c r="B272" s="18" t="s">
        <v>94</v>
      </c>
      <c r="C272" s="17">
        <v>75</v>
      </c>
      <c r="D272" s="17">
        <v>75.2</v>
      </c>
      <c r="E272" s="17">
        <v>0.7</v>
      </c>
    </row>
    <row r="273" spans="1:5" ht="12.75">
      <c r="A273" s="99" t="s">
        <v>348</v>
      </c>
      <c r="B273" s="18" t="s">
        <v>94</v>
      </c>
      <c r="C273" s="17">
        <v>85</v>
      </c>
      <c r="D273" s="17">
        <v>84.6</v>
      </c>
      <c r="E273" s="17">
        <v>0.1</v>
      </c>
    </row>
    <row r="274" spans="1:5" ht="12.75">
      <c r="A274" s="99" t="s">
        <v>349</v>
      </c>
      <c r="B274" s="18" t="s">
        <v>94</v>
      </c>
      <c r="C274" s="17">
        <v>80</v>
      </c>
      <c r="D274" s="17">
        <v>84.6</v>
      </c>
      <c r="E274" s="17">
        <v>0.1</v>
      </c>
    </row>
    <row r="275" spans="1:5" ht="12.75">
      <c r="A275" s="99" t="s">
        <v>350</v>
      </c>
      <c r="B275" s="18" t="s">
        <v>94</v>
      </c>
      <c r="C275" s="17">
        <v>60</v>
      </c>
      <c r="D275" s="17">
        <v>53.58</v>
      </c>
      <c r="E275" s="17">
        <v>0.1</v>
      </c>
    </row>
    <row r="276" spans="1:5" ht="12.75">
      <c r="A276" s="99" t="s">
        <v>351</v>
      </c>
      <c r="B276" s="18" t="s">
        <v>94</v>
      </c>
      <c r="C276" s="17">
        <v>100</v>
      </c>
      <c r="D276" s="17">
        <v>103.4</v>
      </c>
      <c r="E276" s="17">
        <v>0.2</v>
      </c>
    </row>
    <row r="277" spans="1:5" ht="12.75">
      <c r="A277" s="99" t="s">
        <v>352</v>
      </c>
      <c r="B277" s="18" t="s">
        <v>180</v>
      </c>
      <c r="C277" s="17">
        <v>140</v>
      </c>
      <c r="D277" s="17">
        <v>47</v>
      </c>
      <c r="E277" s="17">
        <v>21</v>
      </c>
    </row>
    <row r="278" spans="1:5" ht="12.75">
      <c r="A278" s="99" t="s">
        <v>353</v>
      </c>
      <c r="B278" s="18" t="s">
        <v>180</v>
      </c>
      <c r="C278" s="17">
        <v>120</v>
      </c>
      <c r="D278" s="17">
        <v>47</v>
      </c>
      <c r="E278" s="17">
        <v>17</v>
      </c>
    </row>
    <row r="279" spans="1:5" ht="12.75">
      <c r="A279" s="99" t="s">
        <v>354</v>
      </c>
      <c r="B279" s="18" t="s">
        <v>232</v>
      </c>
      <c r="C279" s="17">
        <v>50</v>
      </c>
      <c r="D279" s="17">
        <v>10.34</v>
      </c>
      <c r="E279" s="17">
        <v>1</v>
      </c>
    </row>
    <row r="280" spans="1:5" ht="12.75">
      <c r="A280" s="99" t="s">
        <v>355</v>
      </c>
      <c r="B280" s="18" t="s">
        <v>171</v>
      </c>
      <c r="C280" s="17">
        <v>95</v>
      </c>
      <c r="D280" s="17">
        <v>66.74</v>
      </c>
      <c r="E280" s="17">
        <v>6</v>
      </c>
    </row>
    <row r="281" spans="1:5" ht="12.75">
      <c r="A281" s="99" t="s">
        <v>356</v>
      </c>
      <c r="B281" s="18" t="s">
        <v>96</v>
      </c>
      <c r="C281" s="17">
        <v>270</v>
      </c>
      <c r="D281" s="17">
        <v>35.72</v>
      </c>
      <c r="E281" s="17">
        <v>2.2</v>
      </c>
    </row>
    <row r="282" spans="1:5" ht="12.75">
      <c r="A282" s="99" t="s">
        <v>357</v>
      </c>
      <c r="B282" s="18" t="s">
        <v>96</v>
      </c>
      <c r="C282" s="17">
        <v>86</v>
      </c>
      <c r="D282" s="17">
        <v>3.76</v>
      </c>
      <c r="E282" s="17">
        <v>8.3</v>
      </c>
    </row>
    <row r="283" spans="1:5" ht="12.75">
      <c r="A283" s="99" t="s">
        <v>358</v>
      </c>
      <c r="B283" s="18" t="s">
        <v>171</v>
      </c>
      <c r="C283" s="17">
        <v>105</v>
      </c>
      <c r="D283" s="17">
        <v>37.6</v>
      </c>
      <c r="E283" s="17">
        <v>1</v>
      </c>
    </row>
    <row r="284" spans="1:5" ht="12.75">
      <c r="A284" s="99" t="s">
        <v>359</v>
      </c>
      <c r="B284" s="18" t="s">
        <v>281</v>
      </c>
      <c r="C284" s="17">
        <v>482</v>
      </c>
      <c r="D284" s="17">
        <v>507.6</v>
      </c>
      <c r="E284" s="17">
        <v>0</v>
      </c>
    </row>
    <row r="285" spans="1:5" ht="12.75">
      <c r="A285" s="99" t="s">
        <v>360</v>
      </c>
      <c r="B285" s="18" t="s">
        <v>96</v>
      </c>
      <c r="C285" s="17">
        <v>190</v>
      </c>
      <c r="D285" s="17">
        <v>18.8</v>
      </c>
      <c r="E285" s="17">
        <v>6</v>
      </c>
    </row>
    <row r="286" spans="1:5" ht="12.75">
      <c r="A286" s="99" t="s">
        <v>361</v>
      </c>
      <c r="B286" s="18" t="s">
        <v>96</v>
      </c>
      <c r="C286" s="17">
        <v>190</v>
      </c>
      <c r="D286" s="17">
        <v>5.64</v>
      </c>
      <c r="E286" s="17">
        <v>6.5</v>
      </c>
    </row>
    <row r="287" spans="1:5" ht="12.75">
      <c r="A287" s="99" t="s">
        <v>362</v>
      </c>
      <c r="B287" s="18" t="s">
        <v>96</v>
      </c>
      <c r="C287" s="17">
        <v>12</v>
      </c>
      <c r="D287" s="17">
        <v>1.88</v>
      </c>
      <c r="E287" s="17">
        <v>1.6</v>
      </c>
    </row>
    <row r="288" spans="1:5" ht="12.75">
      <c r="A288" s="99" t="s">
        <v>363</v>
      </c>
      <c r="B288" s="18" t="s">
        <v>96</v>
      </c>
      <c r="C288" s="17">
        <v>245</v>
      </c>
      <c r="D288" s="17">
        <v>2.82</v>
      </c>
      <c r="E288" s="17">
        <v>1.4</v>
      </c>
    </row>
    <row r="289" spans="1:5" ht="12.75">
      <c r="A289" s="99" t="s">
        <v>364</v>
      </c>
      <c r="B289" s="18" t="s">
        <v>96</v>
      </c>
      <c r="C289" s="17">
        <v>2</v>
      </c>
      <c r="D289" s="17">
        <v>0</v>
      </c>
      <c r="E289" s="17">
        <v>0</v>
      </c>
    </row>
    <row r="290" spans="1:5" ht="12.75">
      <c r="A290" s="99" t="s">
        <v>365</v>
      </c>
      <c r="B290" s="18" t="s">
        <v>366</v>
      </c>
      <c r="C290" s="17">
        <v>24</v>
      </c>
      <c r="D290" s="17">
        <v>2.82</v>
      </c>
      <c r="E290" s="17">
        <v>1.1</v>
      </c>
    </row>
    <row r="291" spans="1:5" ht="12.75">
      <c r="A291" s="99" t="s">
        <v>367</v>
      </c>
      <c r="B291" s="18" t="s">
        <v>96</v>
      </c>
      <c r="C291" s="17">
        <v>108</v>
      </c>
      <c r="D291" s="17">
        <v>3.76</v>
      </c>
      <c r="E291" s="17">
        <v>1.5</v>
      </c>
    </row>
    <row r="292" spans="1:5" ht="12.75">
      <c r="A292" s="99" t="s">
        <v>368</v>
      </c>
      <c r="B292" s="18" t="s">
        <v>180</v>
      </c>
      <c r="C292" s="17">
        <v>175</v>
      </c>
      <c r="D292" s="17">
        <v>84.6</v>
      </c>
      <c r="E292" s="17">
        <v>21</v>
      </c>
    </row>
    <row r="293" spans="1:5" ht="12.75">
      <c r="A293" s="99" t="s">
        <v>369</v>
      </c>
      <c r="B293" s="18" t="s">
        <v>180</v>
      </c>
      <c r="C293" s="17">
        <v>165</v>
      </c>
      <c r="D293" s="17">
        <v>65.8</v>
      </c>
      <c r="E293" s="17">
        <v>24</v>
      </c>
    </row>
    <row r="294" spans="1:5" ht="12.75">
      <c r="A294" s="99" t="s">
        <v>370</v>
      </c>
      <c r="B294" s="18" t="s">
        <v>180</v>
      </c>
      <c r="C294" s="17">
        <v>145</v>
      </c>
      <c r="D294" s="17">
        <v>39.48</v>
      </c>
      <c r="E294" s="17">
        <v>24.9</v>
      </c>
    </row>
    <row r="295" spans="1:5" ht="12.75">
      <c r="A295" s="99" t="s">
        <v>371</v>
      </c>
      <c r="B295" s="18" t="s">
        <v>180</v>
      </c>
      <c r="C295" s="17">
        <v>185</v>
      </c>
      <c r="D295" s="17">
        <v>88.36</v>
      </c>
      <c r="E295" s="17">
        <v>23</v>
      </c>
    </row>
    <row r="296" spans="1:5" ht="12.75">
      <c r="A296" s="99" t="s">
        <v>372</v>
      </c>
      <c r="B296" s="18" t="s">
        <v>96</v>
      </c>
      <c r="C296" s="17">
        <v>46</v>
      </c>
      <c r="D296" s="17">
        <v>1.88</v>
      </c>
      <c r="E296" s="17">
        <v>1.5</v>
      </c>
    </row>
    <row r="297" spans="1:5" ht="12.75">
      <c r="A297" s="99" t="s">
        <v>373</v>
      </c>
      <c r="B297" s="18" t="s">
        <v>174</v>
      </c>
      <c r="C297" s="17">
        <v>35</v>
      </c>
      <c r="D297" s="17">
        <v>0.94</v>
      </c>
      <c r="E297" s="17">
        <v>0.6</v>
      </c>
    </row>
    <row r="298" spans="1:5" ht="12.75">
      <c r="A298" s="99" t="s">
        <v>374</v>
      </c>
      <c r="B298" s="18" t="s">
        <v>208</v>
      </c>
      <c r="C298" s="17">
        <v>65</v>
      </c>
      <c r="D298" s="17">
        <v>9.4</v>
      </c>
      <c r="E298" s="17">
        <v>2.4</v>
      </c>
    </row>
    <row r="299" spans="1:5" ht="12.75">
      <c r="A299" s="99" t="s">
        <v>375</v>
      </c>
      <c r="B299" s="18" t="s">
        <v>232</v>
      </c>
      <c r="C299" s="17">
        <v>35</v>
      </c>
      <c r="D299" s="17">
        <v>13.16</v>
      </c>
      <c r="E299" s="17">
        <v>1</v>
      </c>
    </row>
    <row r="300" spans="1:5" ht="12.75">
      <c r="A300" s="99" t="s">
        <v>376</v>
      </c>
      <c r="B300" s="18" t="s">
        <v>208</v>
      </c>
      <c r="C300" s="17">
        <v>65</v>
      </c>
      <c r="D300" s="17">
        <v>9.4</v>
      </c>
      <c r="E300" s="17">
        <v>2.1</v>
      </c>
    </row>
    <row r="301" spans="1:5" ht="12.75">
      <c r="A301" s="99" t="s">
        <v>377</v>
      </c>
      <c r="B301" s="18" t="s">
        <v>96</v>
      </c>
      <c r="C301" s="17">
        <v>670</v>
      </c>
      <c r="D301" s="17">
        <v>6.58</v>
      </c>
      <c r="E301" s="17">
        <v>12.4</v>
      </c>
    </row>
    <row r="302" spans="1:5" ht="12.75">
      <c r="A302" s="99" t="s">
        <v>378</v>
      </c>
      <c r="B302" s="18" t="s">
        <v>208</v>
      </c>
      <c r="C302" s="17">
        <v>245</v>
      </c>
      <c r="D302" s="17">
        <v>102.46</v>
      </c>
      <c r="E302" s="17">
        <v>2.5</v>
      </c>
    </row>
    <row r="303" spans="1:5" ht="12.75">
      <c r="A303" s="99" t="s">
        <v>379</v>
      </c>
      <c r="B303" s="18" t="s">
        <v>96</v>
      </c>
      <c r="C303" s="17">
        <v>231</v>
      </c>
      <c r="D303" s="17">
        <v>23.5</v>
      </c>
      <c r="E303" s="17">
        <v>9.9</v>
      </c>
    </row>
    <row r="304" spans="1:5" ht="12.75">
      <c r="A304" s="99" t="s">
        <v>380</v>
      </c>
      <c r="B304" s="18" t="s">
        <v>96</v>
      </c>
      <c r="C304" s="17">
        <v>138</v>
      </c>
      <c r="D304" s="17">
        <v>69.56</v>
      </c>
      <c r="E304" s="17">
        <v>7.9</v>
      </c>
    </row>
  </sheetData>
  <sheetProtection sheet="1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9"/>
  <sheetViews>
    <sheetView workbookViewId="0" topLeftCell="A1">
      <selection activeCell="A1" sqref="A1"/>
    </sheetView>
  </sheetViews>
  <sheetFormatPr defaultColWidth="9.00390625" defaultRowHeight="12.75"/>
  <sheetData>
    <row r="1" spans="1:6" ht="12">
      <c r="A1" s="47"/>
      <c r="B1" s="47"/>
      <c r="C1" s="47"/>
      <c r="D1" s="47"/>
      <c r="E1" s="47"/>
      <c r="F1" s="47"/>
    </row>
    <row r="2" spans="1:6" ht="15">
      <c r="A2" s="73"/>
      <c r="B2" s="74" t="s">
        <v>111</v>
      </c>
      <c r="C2" s="75"/>
      <c r="D2" s="75"/>
      <c r="E2" s="75"/>
      <c r="F2" s="75"/>
    </row>
    <row r="3" spans="1:6" ht="15">
      <c r="A3" s="73"/>
      <c r="B3" s="74" t="s">
        <v>112</v>
      </c>
      <c r="C3" s="75"/>
      <c r="D3" s="75"/>
      <c r="E3" s="75"/>
      <c r="F3" s="75"/>
    </row>
    <row r="4" spans="1:6" ht="15">
      <c r="A4" s="73"/>
      <c r="B4" s="75"/>
      <c r="C4" s="75"/>
      <c r="D4" s="75"/>
      <c r="E4" s="75"/>
      <c r="F4" s="75"/>
    </row>
    <row r="5" spans="1:6" ht="15">
      <c r="A5" s="73"/>
      <c r="B5" s="74" t="s">
        <v>113</v>
      </c>
      <c r="C5" s="75"/>
      <c r="D5" s="75"/>
      <c r="E5" s="75"/>
      <c r="F5" s="75"/>
    </row>
    <row r="6" spans="1:6" ht="15">
      <c r="A6" s="73"/>
      <c r="B6" s="74" t="s">
        <v>144</v>
      </c>
      <c r="C6" s="75"/>
      <c r="D6" s="75"/>
      <c r="E6" s="75"/>
      <c r="F6" s="75"/>
    </row>
    <row r="7" spans="1:6" ht="15">
      <c r="A7" s="73"/>
      <c r="B7" s="74" t="s">
        <v>109</v>
      </c>
      <c r="C7" s="75"/>
      <c r="D7" s="75"/>
      <c r="E7" s="75"/>
      <c r="F7" s="75"/>
    </row>
    <row r="8" spans="1:6" ht="15">
      <c r="A8" s="73"/>
      <c r="B8" s="74" t="s">
        <v>110</v>
      </c>
      <c r="C8" s="75"/>
      <c r="D8" s="75"/>
      <c r="E8" s="75"/>
      <c r="F8" s="75"/>
    </row>
    <row r="9" spans="1:6" ht="12">
      <c r="A9" s="47"/>
      <c r="B9" s="47"/>
      <c r="C9" s="47"/>
      <c r="D9" s="47"/>
      <c r="E9" s="47"/>
      <c r="F9" s="47"/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2:C66"/>
  <sheetViews>
    <sheetView showGridLines="0" defaultGridColor="0" colorId="22" workbookViewId="0" topLeftCell="A1">
      <selection activeCell="A1" sqref="A1"/>
    </sheetView>
  </sheetViews>
  <sheetFormatPr defaultColWidth="9.00390625" defaultRowHeight="12.75"/>
  <cols>
    <col min="1" max="1" width="6.625" style="37" customWidth="1"/>
    <col min="2" max="2" width="6.875" style="37" customWidth="1"/>
    <col min="3" max="3" width="56.125" style="37" customWidth="1"/>
    <col min="4" max="4" width="16.625" style="36" customWidth="1"/>
    <col min="5" max="10" width="8.625" style="36" customWidth="1"/>
  </cols>
  <sheetData>
    <row r="2" ht="15.75">
      <c r="C2" s="118" t="s">
        <v>392</v>
      </c>
    </row>
    <row r="4" spans="1:3" ht="13.5" customHeight="1">
      <c r="A4" s="37" t="s">
        <v>29</v>
      </c>
      <c r="B4" s="37" t="s">
        <v>29</v>
      </c>
      <c r="C4" s="38" t="s">
        <v>143</v>
      </c>
    </row>
    <row r="5" ht="12.75">
      <c r="C5" s="39" t="s">
        <v>74</v>
      </c>
    </row>
    <row r="6" ht="12.75">
      <c r="C6" s="39"/>
    </row>
    <row r="7" ht="12.75">
      <c r="C7" s="39" t="s">
        <v>77</v>
      </c>
    </row>
    <row r="8" ht="12.75">
      <c r="C8" s="39" t="s">
        <v>75</v>
      </c>
    </row>
    <row r="9" ht="12.75">
      <c r="C9" s="39" t="s">
        <v>78</v>
      </c>
    </row>
    <row r="10" ht="12.75">
      <c r="C10" s="39" t="s">
        <v>76</v>
      </c>
    </row>
    <row r="12" ht="12.75">
      <c r="C12" s="39" t="s">
        <v>79</v>
      </c>
    </row>
    <row r="13" ht="12.75">
      <c r="C13" s="39" t="s">
        <v>80</v>
      </c>
    </row>
    <row r="14" ht="12.75">
      <c r="C14" s="39" t="s">
        <v>81</v>
      </c>
    </row>
    <row r="16" ht="12.75">
      <c r="C16" s="39" t="s">
        <v>82</v>
      </c>
    </row>
    <row r="17" ht="12.75">
      <c r="C17" s="39" t="s">
        <v>66</v>
      </c>
    </row>
    <row r="18" ht="12.75">
      <c r="C18" s="39" t="s">
        <v>67</v>
      </c>
    </row>
    <row r="19" ht="12.75">
      <c r="C19" s="37" t="s">
        <v>68</v>
      </c>
    </row>
    <row r="21" ht="12.75">
      <c r="C21" s="37" t="s">
        <v>69</v>
      </c>
    </row>
    <row r="23" ht="12.75">
      <c r="C23" s="46" t="s">
        <v>108</v>
      </c>
    </row>
    <row r="25" ht="12.75">
      <c r="C25" s="39" t="s">
        <v>83</v>
      </c>
    </row>
    <row r="27" ht="12.75">
      <c r="C27" s="37" t="s">
        <v>70</v>
      </c>
    </row>
    <row r="28" ht="12.75">
      <c r="C28" s="40" t="s">
        <v>71</v>
      </c>
    </row>
    <row r="30" ht="12.75">
      <c r="C30" s="37" t="s">
        <v>72</v>
      </c>
    </row>
    <row r="31" ht="12.75">
      <c r="C31" s="37" t="s">
        <v>73</v>
      </c>
    </row>
    <row r="32" ht="12.75">
      <c r="C32" s="41" t="s">
        <v>84</v>
      </c>
    </row>
    <row r="35" ht="12.75">
      <c r="A35" s="37" t="s">
        <v>85</v>
      </c>
    </row>
    <row r="37" spans="1:3" ht="12.75">
      <c r="A37" s="37" t="s">
        <v>88</v>
      </c>
      <c r="B37" s="37" t="s">
        <v>86</v>
      </c>
      <c r="C37" s="37" t="s">
        <v>87</v>
      </c>
    </row>
    <row r="38" spans="1:3" ht="12.75">
      <c r="A38" s="100" t="s">
        <v>89</v>
      </c>
      <c r="B38" s="42">
        <v>37111</v>
      </c>
      <c r="C38" s="37" t="s">
        <v>90</v>
      </c>
    </row>
    <row r="39" spans="1:3" ht="12.75">
      <c r="A39" s="100" t="s">
        <v>89</v>
      </c>
      <c r="B39" s="42">
        <v>37118</v>
      </c>
      <c r="C39" s="37" t="s">
        <v>103</v>
      </c>
    </row>
    <row r="40" spans="1:3" ht="12.75">
      <c r="A40" s="100" t="s">
        <v>89</v>
      </c>
      <c r="B40" s="42">
        <v>37120</v>
      </c>
      <c r="C40" s="37" t="s">
        <v>104</v>
      </c>
    </row>
    <row r="41" spans="1:3" ht="12.75">
      <c r="A41" s="100" t="s">
        <v>106</v>
      </c>
      <c r="B41" s="42">
        <v>37120</v>
      </c>
      <c r="C41" s="37" t="s">
        <v>107</v>
      </c>
    </row>
    <row r="42" spans="1:3" ht="12.75">
      <c r="A42" s="100" t="s">
        <v>106</v>
      </c>
      <c r="B42" s="42">
        <v>37123</v>
      </c>
      <c r="C42" s="37" t="s">
        <v>117</v>
      </c>
    </row>
    <row r="43" spans="1:3" ht="12.75">
      <c r="A43" s="100" t="s">
        <v>106</v>
      </c>
      <c r="B43" s="42">
        <v>37126</v>
      </c>
      <c r="C43" s="39" t="s">
        <v>118</v>
      </c>
    </row>
    <row r="44" spans="1:3" ht="12.75">
      <c r="A44" s="101">
        <v>1</v>
      </c>
      <c r="B44" s="42">
        <v>37245</v>
      </c>
      <c r="C44" s="37" t="s">
        <v>382</v>
      </c>
    </row>
    <row r="45" spans="1:3" ht="12.75">
      <c r="A45" s="102">
        <v>1.01</v>
      </c>
      <c r="B45" s="42">
        <v>37251</v>
      </c>
      <c r="C45" s="37" t="s">
        <v>383</v>
      </c>
    </row>
    <row r="46" ht="12.75">
      <c r="A46" s="102"/>
    </row>
    <row r="47" ht="12.75">
      <c r="A47" s="102"/>
    </row>
    <row r="48" ht="12.75">
      <c r="A48" s="102"/>
    </row>
    <row r="49" ht="12.75">
      <c r="A49" s="102"/>
    </row>
    <row r="50" ht="12.75">
      <c r="A50" s="102"/>
    </row>
    <row r="51" ht="12.75">
      <c r="A51" s="102"/>
    </row>
    <row r="52" ht="12.75">
      <c r="A52" s="102"/>
    </row>
    <row r="53" ht="12.75">
      <c r="A53" s="102"/>
    </row>
    <row r="54" ht="12.75">
      <c r="A54" s="102"/>
    </row>
    <row r="55" ht="12.75">
      <c r="A55" s="102"/>
    </row>
    <row r="56" ht="12.75">
      <c r="A56" s="102"/>
    </row>
    <row r="57" ht="12.75">
      <c r="A57" s="102"/>
    </row>
    <row r="58" ht="12.75">
      <c r="A58" s="102"/>
    </row>
    <row r="59" ht="12.75">
      <c r="A59" s="102"/>
    </row>
    <row r="60" ht="12.75">
      <c r="A60" s="102"/>
    </row>
    <row r="61" ht="12.75">
      <c r="A61" s="102"/>
    </row>
    <row r="62" ht="12.75">
      <c r="A62" s="102"/>
    </row>
    <row r="63" ht="12.75">
      <c r="A63" s="102"/>
    </row>
    <row r="64" ht="12.75">
      <c r="A64" s="102"/>
    </row>
    <row r="65" ht="12.75">
      <c r="A65" s="102"/>
    </row>
    <row r="66" ht="12.75">
      <c r="A66" s="102"/>
    </row>
  </sheetData>
  <sheetProtection sheet="1"/>
  <hyperlinks>
    <hyperlink ref="C23" r:id="rId1" display="http://members.aol.com/WeightControl101"/>
    <hyperlink ref="C28" r:id="rId2" display="mailto:jsuebersax@yahoo.com"/>
  </hyperlinks>
  <printOptions/>
  <pageMargins left="0.75" right="0.75" top="1" bottom="1" header="0.5" footer="0.5"/>
  <pageSetup horizontalDpi="600" verticalDpi="6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3:I26"/>
  <sheetViews>
    <sheetView workbookViewId="0" topLeftCell="A1">
      <selection activeCell="A1" sqref="A1"/>
    </sheetView>
  </sheetViews>
  <sheetFormatPr defaultColWidth="9.00390625" defaultRowHeight="12.75"/>
  <cols>
    <col min="1" max="1" width="13.50390625" style="0" customWidth="1"/>
  </cols>
  <sheetData>
    <row r="3" spans="1:9" ht="12.75">
      <c r="A3" s="24"/>
      <c r="B3" s="25"/>
      <c r="C3" s="11"/>
      <c r="D3" s="10"/>
      <c r="E3" s="23"/>
      <c r="F3" s="11"/>
      <c r="G3" s="11"/>
      <c r="H3" s="11"/>
      <c r="I3" s="53"/>
    </row>
    <row r="4" spans="1:9" ht="12">
      <c r="A4" s="8"/>
      <c r="B4" s="6"/>
      <c r="C4" s="6"/>
      <c r="D4" s="6"/>
      <c r="E4" s="6"/>
      <c r="F4" s="6"/>
      <c r="G4" s="6"/>
      <c r="H4" s="6"/>
      <c r="I4" s="54"/>
    </row>
    <row r="5" spans="1:9" ht="12">
      <c r="A5" s="8"/>
      <c r="B5" s="5"/>
      <c r="C5" s="5"/>
      <c r="D5" s="5"/>
      <c r="E5" s="5"/>
      <c r="F5" s="5"/>
      <c r="G5" s="5"/>
      <c r="H5" s="5"/>
      <c r="I5" s="55"/>
    </row>
    <row r="6" spans="1:9" ht="12">
      <c r="A6" s="2"/>
      <c r="B6" s="7"/>
      <c r="C6" s="7"/>
      <c r="I6" s="56"/>
    </row>
    <row r="7" spans="1:9" ht="12">
      <c r="A7" s="4"/>
      <c r="B7" s="7"/>
      <c r="C7" s="7"/>
      <c r="I7" s="56"/>
    </row>
    <row r="8" spans="1:9" ht="12">
      <c r="A8" s="4"/>
      <c r="B8" s="7"/>
      <c r="C8" s="7"/>
      <c r="I8" s="56"/>
    </row>
    <row r="9" spans="1:9" ht="12">
      <c r="A9" s="4"/>
      <c r="B9" s="7"/>
      <c r="C9" s="7"/>
      <c r="I9" s="56"/>
    </row>
    <row r="10" ht="12">
      <c r="A10" s="7"/>
    </row>
    <row r="13" ht="12">
      <c r="A13" s="3"/>
    </row>
    <row r="14" ht="12">
      <c r="A14" s="3"/>
    </row>
    <row r="15" ht="12">
      <c r="A15" s="3"/>
    </row>
    <row r="16" ht="12">
      <c r="A16" s="3"/>
    </row>
    <row r="17" ht="12">
      <c r="A17" s="3"/>
    </row>
    <row r="18" ht="12">
      <c r="A18" s="3"/>
    </row>
    <row r="19" ht="12">
      <c r="A19" s="8"/>
    </row>
    <row r="20" ht="12">
      <c r="A20" s="8"/>
    </row>
    <row r="21" ht="12">
      <c r="A21" s="8"/>
    </row>
    <row r="22" ht="12">
      <c r="A22" s="8"/>
    </row>
    <row r="23" ht="12">
      <c r="A23" s="8"/>
    </row>
    <row r="25" ht="12">
      <c r="A25" s="6"/>
    </row>
    <row r="26" ht="12">
      <c r="A26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</dc:creator>
  <cp:keywords/>
  <dc:description/>
  <cp:lastModifiedBy>John Uebersax</cp:lastModifiedBy>
  <dcterms:created xsi:type="dcterms:W3CDTF">2001-08-02T18:58:04Z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